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defaultThemeVersion="166925"/>
  <mc:AlternateContent xmlns:mc="http://schemas.openxmlformats.org/markup-compatibility/2006">
    <mc:Choice Requires="x15">
      <x15ac:absPath xmlns:x15ac="http://schemas.microsoft.com/office/spreadsheetml/2010/11/ac" url="https://uscedu-my.sharepoint.com/personal/jinyuanz_usc_edu/Documents/"/>
    </mc:Choice>
  </mc:AlternateContent>
  <xr:revisionPtr revIDLastSave="0" documentId="8_{118FF90B-CC74-4AD8-A5DE-0FFF9CBB1B94}" xr6:coauthVersionLast="47" xr6:coauthVersionMax="47" xr10:uidLastSave="{00000000-0000-0000-0000-000000000000}"/>
  <bookViews>
    <workbookView xWindow="0" yWindow="500" windowWidth="28800" windowHeight="16340" firstSheet="2" xr2:uid="{893FF6ED-0343-4340-8630-AF64AFB775B4}"/>
  </bookViews>
  <sheets>
    <sheet name="Comps" sheetId="1" r:id="rId1"/>
    <sheet name="Benchmarking" sheetId="2" r:id="rId2"/>
    <sheet name="WACC" sheetId="3" r:id="rId3"/>
  </sheets>
  <definedNames>
    <definedName name="IQ_CH">110000</definedName>
    <definedName name="IQ_CQ">5000</definedName>
    <definedName name="IQ_CY">10000</definedName>
    <definedName name="IQ_DAILY">500000</definedName>
    <definedName name="IQ_DNTM" hidden="1">700000</definedName>
    <definedName name="IQ_EXPENSE_CODE_" hidden="1">12365</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45559.8977314815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Benchmarking!$B$2:$X$35</definedName>
    <definedName name="_xlnm.Print_Area" localSheetId="0">Comps!$B$2:$V$39</definedName>
    <definedName name="_xlnm.Print_Area" localSheetId="2">WACC!$B$2:$S$57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O36" i="1"/>
  <c r="Q36" i="1"/>
  <c r="R36" i="1"/>
  <c r="S36" i="1"/>
  <c r="M36" i="1"/>
  <c r="P37" i="3"/>
  <c r="N37" i="3"/>
  <c r="N40" i="3"/>
  <c r="M29" i="1"/>
  <c r="M20" i="1"/>
  <c r="P23" i="3"/>
  <c r="N27" i="3"/>
  <c r="N23" i="3"/>
  <c r="M25" i="3"/>
  <c r="P25" i="3" s="1"/>
  <c r="E27" i="2"/>
  <c r="H49" i="3"/>
  <c r="L48" i="3"/>
  <c r="P24" i="3"/>
  <c r="P22" i="3"/>
  <c r="L23" i="3"/>
  <c r="K23" i="3"/>
  <c r="M23" i="3"/>
  <c r="N22" i="3"/>
  <c r="M22" i="3"/>
  <c r="K8" i="1"/>
  <c r="K9" i="1"/>
  <c r="M21" i="1" s="1"/>
  <c r="K22" i="3"/>
  <c r="H15" i="1"/>
  <c r="H9" i="1"/>
  <c r="H10" i="1"/>
  <c r="K10" i="1" s="1"/>
  <c r="H11" i="1"/>
  <c r="K11" i="1" s="1"/>
  <c r="H12" i="1"/>
  <c r="K12" i="1" s="1"/>
  <c r="H13" i="1"/>
  <c r="K13" i="1" s="1"/>
  <c r="N25" i="1" s="1"/>
  <c r="H8" i="1"/>
  <c r="O6" i="2"/>
  <c r="U6" i="2" s="1"/>
  <c r="N6" i="2"/>
  <c r="T6" i="2" s="1"/>
  <c r="M6" i="2"/>
  <c r="S6" i="2" s="1"/>
  <c r="L6" i="2"/>
  <c r="R6" i="2" s="1"/>
  <c r="K6" i="2"/>
  <c r="Q6" i="2" s="1"/>
  <c r="S2" i="3"/>
  <c r="I20" i="3"/>
  <c r="K24" i="3"/>
  <c r="L24" i="3" s="1"/>
  <c r="N24" i="3" s="1"/>
  <c r="K25" i="3"/>
  <c r="L25" i="3" s="1"/>
  <c r="N25" i="3" s="1"/>
  <c r="K26" i="3"/>
  <c r="L26" i="3"/>
  <c r="N26" i="3" s="1"/>
  <c r="M26" i="3"/>
  <c r="P26" i="3" s="1"/>
  <c r="K27" i="3"/>
  <c r="L27" i="3" s="1"/>
  <c r="N29" i="3"/>
  <c r="N31" i="3"/>
  <c r="N32" i="3"/>
  <c r="N33" i="3"/>
  <c r="N34" i="3"/>
  <c r="M34" i="3"/>
  <c r="P34" i="3" s="1"/>
  <c r="N35" i="3"/>
  <c r="N36" i="3"/>
  <c r="X2" i="2"/>
  <c r="E26" i="2"/>
  <c r="F26" i="2"/>
  <c r="G26" i="2"/>
  <c r="H26" i="2"/>
  <c r="I26" i="2"/>
  <c r="K26" i="2"/>
  <c r="L26" i="2"/>
  <c r="M26" i="2"/>
  <c r="N26" i="2"/>
  <c r="O26" i="2"/>
  <c r="Q26" i="2"/>
  <c r="R26" i="2"/>
  <c r="S26" i="2"/>
  <c r="T26" i="2"/>
  <c r="U26" i="2"/>
  <c r="F27" i="2"/>
  <c r="G27" i="2"/>
  <c r="H27" i="2"/>
  <c r="I27" i="2"/>
  <c r="K27" i="2"/>
  <c r="L27" i="2"/>
  <c r="M27" i="2"/>
  <c r="N27" i="2"/>
  <c r="O27" i="2"/>
  <c r="Q27" i="2"/>
  <c r="R27" i="2"/>
  <c r="S27" i="2"/>
  <c r="T27" i="2"/>
  <c r="U27" i="2"/>
  <c r="E28" i="2"/>
  <c r="F28" i="2"/>
  <c r="G28" i="2"/>
  <c r="H28" i="2"/>
  <c r="I28" i="2"/>
  <c r="K28" i="2"/>
  <c r="L28" i="2"/>
  <c r="M28" i="2"/>
  <c r="N28" i="2"/>
  <c r="O28" i="2"/>
  <c r="Q28" i="2"/>
  <c r="R28" i="2"/>
  <c r="S28" i="2"/>
  <c r="T28" i="2"/>
  <c r="U28" i="2"/>
  <c r="E29" i="2"/>
  <c r="F29" i="2"/>
  <c r="G29" i="2"/>
  <c r="H29" i="2"/>
  <c r="I29" i="2"/>
  <c r="K29" i="2"/>
  <c r="L29" i="2"/>
  <c r="M29" i="2"/>
  <c r="N29" i="2"/>
  <c r="O29" i="2"/>
  <c r="Q29" i="2"/>
  <c r="R29" i="2"/>
  <c r="S29" i="2"/>
  <c r="T29" i="2"/>
  <c r="U29" i="2"/>
  <c r="E30" i="2"/>
  <c r="F30" i="2"/>
  <c r="G30" i="2"/>
  <c r="H30" i="2"/>
  <c r="I30" i="2"/>
  <c r="K30" i="2"/>
  <c r="L30" i="2"/>
  <c r="M30" i="2"/>
  <c r="N30" i="2"/>
  <c r="O30" i="2"/>
  <c r="Q30" i="2"/>
  <c r="R30" i="2"/>
  <c r="S30" i="2"/>
  <c r="T30" i="2"/>
  <c r="U30" i="2"/>
  <c r="E31" i="2"/>
  <c r="F31" i="2"/>
  <c r="G31" i="2"/>
  <c r="H31" i="2"/>
  <c r="I31" i="2"/>
  <c r="K31" i="2"/>
  <c r="L31" i="2"/>
  <c r="M31" i="2"/>
  <c r="N31" i="2"/>
  <c r="O31" i="2"/>
  <c r="Q31" i="2"/>
  <c r="R31" i="2"/>
  <c r="S31" i="2"/>
  <c r="T31" i="2"/>
  <c r="U31" i="2"/>
  <c r="V2" i="1"/>
  <c r="F6" i="1"/>
  <c r="N20" i="1"/>
  <c r="K15" i="1"/>
  <c r="M18" i="1"/>
  <c r="N18" i="1"/>
  <c r="O18" i="1"/>
  <c r="Q18" i="1"/>
  <c r="R18" i="1"/>
  <c r="S18" i="1"/>
  <c r="B20" i="1"/>
  <c r="C20" i="1"/>
  <c r="Q20" i="1"/>
  <c r="B21" i="1"/>
  <c r="C21" i="1"/>
  <c r="B22" i="1"/>
  <c r="C22" i="1"/>
  <c r="B23" i="1"/>
  <c r="C23" i="1"/>
  <c r="B24" i="1"/>
  <c r="C24" i="1"/>
  <c r="B25" i="1"/>
  <c r="C25" i="1"/>
  <c r="B27" i="1"/>
  <c r="C27" i="1"/>
  <c r="N38" i="3" l="1"/>
  <c r="M33" i="3"/>
  <c r="P33" i="3" s="1"/>
  <c r="M24" i="3"/>
  <c r="M30" i="3"/>
  <c r="P30" i="3" s="1"/>
  <c r="M29" i="3"/>
  <c r="P29" i="3" s="1"/>
  <c r="M32" i="3"/>
  <c r="P32" i="3" s="1"/>
  <c r="Q21" i="1"/>
  <c r="O21" i="1"/>
  <c r="N21" i="1"/>
  <c r="S21" i="1"/>
  <c r="R21" i="1"/>
  <c r="N22" i="1"/>
  <c r="M22" i="1"/>
  <c r="N24" i="1"/>
  <c r="M24" i="1"/>
  <c r="Q24" i="1"/>
  <c r="Q25" i="1"/>
  <c r="O25" i="1"/>
  <c r="M25" i="1"/>
  <c r="S25" i="1"/>
  <c r="R25" i="1"/>
  <c r="N27" i="1"/>
  <c r="O27" i="1"/>
  <c r="Q27" i="1"/>
  <c r="M27" i="1"/>
  <c r="R27" i="1"/>
  <c r="S27" i="1"/>
  <c r="M23" i="1"/>
  <c r="N23" i="1"/>
  <c r="O23" i="1"/>
  <c r="Q23" i="1"/>
  <c r="R23" i="1"/>
  <c r="S23" i="1"/>
  <c r="S24" i="1"/>
  <c r="S22" i="1"/>
  <c r="S20" i="1"/>
  <c r="M35" i="3"/>
  <c r="P35" i="3" s="1"/>
  <c r="M27" i="3"/>
  <c r="P27" i="3" s="1"/>
  <c r="R24" i="1"/>
  <c r="R22" i="1"/>
  <c r="R20" i="1"/>
  <c r="O24" i="1"/>
  <c r="O22" i="1"/>
  <c r="O20" i="1"/>
  <c r="M36" i="3"/>
  <c r="P36" i="3" s="1"/>
  <c r="M28" i="3"/>
  <c r="P28" i="3" s="1"/>
  <c r="Q22" i="1"/>
  <c r="M31" i="3"/>
  <c r="P31" i="3" s="1"/>
  <c r="H46" i="3" l="1"/>
  <c r="H47" i="3" s="1"/>
  <c r="N49" i="3" s="1"/>
  <c r="N48" i="3"/>
  <c r="P48" i="3" s="1"/>
  <c r="H48" i="3"/>
  <c r="P40" i="3"/>
  <c r="P38" i="3"/>
  <c r="M33" i="1"/>
  <c r="M31" i="1"/>
  <c r="Q33" i="1"/>
  <c r="N32" i="1"/>
  <c r="Q29" i="1"/>
  <c r="Q31" i="1"/>
  <c r="N34" i="1"/>
  <c r="S30" i="1"/>
  <c r="S34" i="1"/>
  <c r="S29" i="1"/>
  <c r="S33" i="1"/>
  <c r="S32" i="1"/>
  <c r="S31" i="1"/>
  <c r="M32" i="1"/>
  <c r="N29" i="1"/>
  <c r="O32" i="1"/>
  <c r="O33" i="1"/>
  <c r="O31" i="1"/>
  <c r="O30" i="1"/>
  <c r="O34" i="1"/>
  <c r="O29" i="1"/>
  <c r="R29" i="1"/>
  <c r="R33" i="1"/>
  <c r="R32" i="1"/>
  <c r="R30" i="1"/>
  <c r="R31" i="1"/>
  <c r="R34" i="1"/>
  <c r="M30" i="1"/>
  <c r="N30" i="1"/>
  <c r="M34" i="1"/>
  <c r="N33" i="1"/>
  <c r="N31" i="1"/>
  <c r="Q32" i="1"/>
  <c r="Q30" i="1"/>
  <c r="Q34" i="1"/>
  <c r="H45" i="3" l="1"/>
  <c r="H50" i="3" s="1"/>
  <c r="L49" i="3" s="1"/>
  <c r="P49" i="3" s="1"/>
  <c r="P50" i="3" s="1"/>
  <c r="P5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V2" authorId="0" shapeId="0" xr:uid="{8563270A-3717-4EDA-8E23-A63909802CCA}">
      <text>
        <r>
          <rPr>
            <sz val="10"/>
            <color rgb="FF000000"/>
            <rFont val="Calibri"/>
            <family val="2"/>
          </rPr>
          <t>We set the valuation date as </t>
        </r>
        <r>
          <rPr>
            <b/>
            <u/>
            <sz val="10"/>
            <color rgb="FF000000"/>
            <rFont val="Calibri"/>
            <family val="2"/>
          </rPr>
          <t>September 30, 2024</t>
        </r>
        <r>
          <rPr>
            <sz val="10"/>
            <color rgb="FF000000"/>
            <rFont val="Calibri"/>
            <family val="2"/>
          </rPr>
          <t>. This way, valuation inputs will be consistent across the board.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X2" authorId="0" shapeId="0" xr:uid="{01280D22-F985-4957-8A6C-DDF4712F25FA}">
      <text>
        <r>
          <rPr>
            <sz val="10"/>
            <color rgb="FF000000"/>
            <rFont val="Calibri"/>
            <family val="2"/>
          </rPr>
          <t>We set the valuation date as </t>
        </r>
        <r>
          <rPr>
            <b/>
            <u/>
            <sz val="10"/>
            <color rgb="FF000000"/>
            <rFont val="Calibri"/>
            <family val="2"/>
          </rPr>
          <t>September 30, 2024</t>
        </r>
        <r>
          <rPr>
            <sz val="10"/>
            <color rgb="FF000000"/>
            <rFont val="Calibri"/>
            <family val="2"/>
          </rPr>
          <t>. This way, valuation inputs will be consistent across the board.</t>
        </r>
      </text>
    </comment>
    <comment ref="B5" authorId="0" shapeId="0" xr:uid="{4D59A7BF-51FB-2A43-B87D-4C63F4BB6398}">
      <text>
        <r>
          <rPr>
            <sz val="10"/>
            <color rgb="FF000000"/>
            <rFont val="Calibri"/>
            <family val="2"/>
          </rPr>
          <t>Your team may also want to benchmark on other data that you might need for the forecast such as NWC and Capex. Please feel free to expand on the data included in this template.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S2" authorId="0" shapeId="0" xr:uid="{0F579D5D-50C5-4464-9FB3-27A6BAD73F2A}">
      <text>
        <r>
          <rPr>
            <sz val="10"/>
            <color rgb="FF000000"/>
            <rFont val="Calibri"/>
            <family val="2"/>
          </rPr>
          <t>We set the valuation date as </t>
        </r>
        <r>
          <rPr>
            <b/>
            <u/>
            <sz val="10"/>
            <color rgb="FF000000"/>
            <rFont val="Calibri"/>
            <family val="2"/>
          </rPr>
          <t>September 30, 2024</t>
        </r>
        <r>
          <rPr>
            <sz val="10"/>
            <color rgb="FF000000"/>
            <rFont val="Calibri"/>
            <family val="2"/>
          </rPr>
          <t>. This way, valuation inputs will be consistent across the board.</t>
        </r>
      </text>
    </comment>
    <comment ref="F13" authorId="0" shapeId="0" xr:uid="{B5EAFD4B-5258-0648-B547-29EBACE76B46}">
      <text>
        <r>
          <rPr>
            <sz val="10"/>
            <color rgb="FF000000"/>
            <rFont val="Calibri"/>
            <family val="2"/>
          </rPr>
          <t>Alpha is meant to capture “company specific risk” outside of market risk captured by beta. In certain situations, where the analyst believes the assumptions in the forecast are unreasonable, they might apply an alpha to account for the undiversifiable risk that CAPM doesn’t pick up.</t>
        </r>
      </text>
    </comment>
  </commentList>
</comments>
</file>

<file path=xl/sharedStrings.xml><?xml version="1.0" encoding="utf-8"?>
<sst xmlns="http://schemas.openxmlformats.org/spreadsheetml/2006/main" count="196" uniqueCount="128">
  <si>
    <r>
      <t>Sharvil Jadon,</t>
    </r>
    <r>
      <rPr>
        <sz val="11"/>
        <color rgb="FF000000"/>
        <rFont val="Times New Roman"/>
        <family val="1"/>
        <charset val="1"/>
      </rPr>
      <t xml:space="preserve"> </t>
    </r>
    <r>
      <rPr>
        <sz val="12"/>
        <color rgb="FF000000"/>
        <rFont val="Times New Roman"/>
        <family val="1"/>
        <charset val="1"/>
      </rPr>
      <t>Yonggy (Brian) Park, Ariel Qi, Branden Soo and Travis Zeng</t>
    </r>
  </si>
  <si>
    <t>Selected Public Companies Analysis</t>
  </si>
  <si>
    <t>(US$ in millions, except per share data)</t>
  </si>
  <si>
    <t>COMPANY INFORMATION</t>
  </si>
  <si>
    <t>MARKET DATA</t>
  </si>
  <si>
    <t>Guideline Companies Metrics</t>
  </si>
  <si>
    <t xml:space="preserve">Company Name </t>
  </si>
  <si>
    <t>Ticker</t>
  </si>
  <si>
    <t>Display Currency</t>
  </si>
  <si>
    <t>FX Rate</t>
  </si>
  <si>
    <t>Number of Common Shares Outstanding
(millions)</t>
  </si>
  <si>
    <t>Market
Capitalization
($ millions)</t>
  </si>
  <si>
    <r>
      <t xml:space="preserve">Book Value of Debt 
($ millions) </t>
    </r>
    <r>
      <rPr>
        <vertAlign val="superscript"/>
        <sz val="10"/>
        <color rgb="FF4D4D4F"/>
        <rFont val="Calibri"/>
        <family val="2"/>
        <scheme val="minor"/>
      </rPr>
      <t>(1)</t>
    </r>
  </si>
  <si>
    <t>Cash Balance
($ millions)</t>
  </si>
  <si>
    <t>Enterprise
Value
($ millions)</t>
  </si>
  <si>
    <t>LTM
EBITDA</t>
  </si>
  <si>
    <t>2025
EBITDA</t>
  </si>
  <si>
    <t>2026
EBITDA</t>
  </si>
  <si>
    <t>LTM
Revenue</t>
  </si>
  <si>
    <t>2025
Revenue</t>
  </si>
  <si>
    <t>2026
Revenue</t>
  </si>
  <si>
    <t>Live Nation Entertainment, Inc.</t>
  </si>
  <si>
    <t>LYV</t>
  </si>
  <si>
    <t>USD</t>
  </si>
  <si>
    <t>TKO Group Holdings Inc</t>
  </si>
  <si>
    <t>TKO</t>
  </si>
  <si>
    <t xml:space="preserve">AMC Entertainment Holdings, Inc. </t>
  </si>
  <si>
    <t>AMC</t>
  </si>
  <si>
    <t>Madison Square Garden Entertainment Corp.</t>
  </si>
  <si>
    <t>MSGE</t>
  </si>
  <si>
    <t>Manchester United Ltd. Class A</t>
  </si>
  <si>
    <t>MANU</t>
  </si>
  <si>
    <t>Formula One Group</t>
  </si>
  <si>
    <t>FWONA</t>
  </si>
  <si>
    <t>Madison Square Garden Sports Corp.</t>
  </si>
  <si>
    <t>MSGS</t>
  </si>
  <si>
    <t>ENTERPRISE VALUE AS MULTIPLE OF</t>
  </si>
  <si>
    <t>Include ?</t>
  </si>
  <si>
    <t>YES</t>
  </si>
  <si>
    <t>Min</t>
  </si>
  <si>
    <t>First Quartile</t>
  </si>
  <si>
    <t>Mean</t>
  </si>
  <si>
    <t>Median</t>
  </si>
  <si>
    <t>Third Quartile</t>
  </si>
  <si>
    <t>Max</t>
  </si>
  <si>
    <t>Selected:</t>
  </si>
  <si>
    <t>Notes:</t>
  </si>
  <si>
    <t>(1) Debt includes short term and long term interest-bearing debt plus capital leases, preferred stock, and minority interest. Excludes operating lease liabilities.</t>
  </si>
  <si>
    <t>REVENUE GROWTH</t>
  </si>
  <si>
    <t>EBITDA GROWTH</t>
  </si>
  <si>
    <t>EBITDA MARGIN</t>
  </si>
  <si>
    <t>LTM</t>
  </si>
  <si>
    <t>IMAX Corporation</t>
  </si>
  <si>
    <t>IMAX</t>
  </si>
  <si>
    <t>Cinemark Holdings, Inc.</t>
  </si>
  <si>
    <t>CNK</t>
  </si>
  <si>
    <t>Vail Resorts, Inc.</t>
  </si>
  <si>
    <t>MTN</t>
  </si>
  <si>
    <t>DraftKings Inc.</t>
  </si>
  <si>
    <t>DKNG</t>
  </si>
  <si>
    <t>Caesars Entertainment Corporation</t>
  </si>
  <si>
    <t>CZR</t>
  </si>
  <si>
    <t>Boyd Gaming Corporation</t>
  </si>
  <si>
    <t>BYD</t>
  </si>
  <si>
    <t>Six Flags Entertainment Corporation</t>
  </si>
  <si>
    <t>FUN</t>
  </si>
  <si>
    <t>Planet Fitness, Inc.</t>
  </si>
  <si>
    <t>PLNT</t>
  </si>
  <si>
    <t>Comcast Corporation</t>
  </si>
  <si>
    <t>CMCSA</t>
  </si>
  <si>
    <t>LTM = Latest Twelve Months</t>
  </si>
  <si>
    <t>EBITDA = Earnings Before Interest, Taxes, Depreciation and Amortization</t>
  </si>
  <si>
    <t>Source: S&amp;P Capital IQ, SEC Filings, Annual and Interim Reports.</t>
  </si>
  <si>
    <t>Assumptions and Sources</t>
  </si>
  <si>
    <t>Formulas</t>
  </si>
  <si>
    <t>Valuation Date</t>
  </si>
  <si>
    <t>Relevering Calculations</t>
  </si>
  <si>
    <t>Risk-Free Rate (Rf)</t>
  </si>
  <si>
    <t>US 10-yr Treasury Yield</t>
  </si>
  <si>
    <t>Unlevered Beta =</t>
  </si>
  <si>
    <t>Beta (Observed) / [1 + D/E ( 1 - ti )]</t>
  </si>
  <si>
    <t>Pretax Cost of Debt (i)</t>
  </si>
  <si>
    <t>Alpha Spread</t>
  </si>
  <si>
    <t>Relevered Beta =</t>
  </si>
  <si>
    <t>Unlevered Beta * [ 1 + D/E ( 1 - tt )]</t>
  </si>
  <si>
    <t>Equity Risk Premium (Rp)</t>
  </si>
  <si>
    <t>Small Stock Premium (Ssp)</t>
  </si>
  <si>
    <t>MSGS is not a "small stock"</t>
  </si>
  <si>
    <t>Debt-to-Equity Calculation</t>
  </si>
  <si>
    <t>Effective Tax Rate - Target Company (tt)</t>
  </si>
  <si>
    <t>Capital IQ</t>
  </si>
  <si>
    <t xml:space="preserve">Industry Average D/E = </t>
  </si>
  <si>
    <t>(Debt/Capital) / (Equity/Capital)</t>
  </si>
  <si>
    <t>Alpha (A)</t>
  </si>
  <si>
    <t>Source?</t>
  </si>
  <si>
    <t>Country Risk Premium (CRP)</t>
  </si>
  <si>
    <t>Required Return on Capital Calculations</t>
  </si>
  <si>
    <t>Return on Debt =</t>
  </si>
  <si>
    <t xml:space="preserve">[ (i + CRP) * (1 - t) ] </t>
  </si>
  <si>
    <t>Return on Equity =</t>
  </si>
  <si>
    <t>[ Rf + b (Rp) + CRP + Ssp +A ]</t>
  </si>
  <si>
    <t>Comparable Company Analysis</t>
  </si>
  <si>
    <t>Beta</t>
  </si>
  <si>
    <t>Market Value of Equity
($ millions)</t>
  </si>
  <si>
    <t>Total Capital
($ millions)</t>
  </si>
  <si>
    <t>Debt/Equity</t>
  </si>
  <si>
    <t>Debt/Capital</t>
  </si>
  <si>
    <t>Effective Tax Rate/ Statutory Tax Rate</t>
  </si>
  <si>
    <t>Beta (Unlevered)</t>
  </si>
  <si>
    <t>Include?</t>
  </si>
  <si>
    <t>Average</t>
  </si>
  <si>
    <t>&lt;&lt;&lt; Choose either mean or median (or select the desired metric based on your own rationale)</t>
  </si>
  <si>
    <t>Relevered Beta Analysis</t>
  </si>
  <si>
    <t>Weighted Average Rate of Return - Capital Asset Pricing Model</t>
  </si>
  <si>
    <t>Required</t>
  </si>
  <si>
    <t>Debt / Capital (D)</t>
  </si>
  <si>
    <t>Return</t>
  </si>
  <si>
    <t>Weighting</t>
  </si>
  <si>
    <t>WACC</t>
  </si>
  <si>
    <t>Equity / Capital (E)</t>
  </si>
  <si>
    <t>Industry D/E</t>
  </si>
  <si>
    <t>Debt</t>
  </si>
  <si>
    <t>x</t>
  </si>
  <si>
    <t>=</t>
  </si>
  <si>
    <t>Effective Tax Rate - Target (tt)</t>
  </si>
  <si>
    <t>Equity</t>
  </si>
  <si>
    <t>Beta (Relevered)</t>
  </si>
  <si>
    <t>Weighted Average Cost of Capital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</si>
</sst>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44" formatCode="_(&quot;$&quot;* #,##0.00_);_(&quot;$&quot;* \(#,##0.00\);_(&quot;$&quot;* &quot;-&quot;??_);_(@_)"/>
    <numFmt numFmtId="43" formatCode="_(* #,##0.00_);_(* \(#,##0.00\);_(* &quot;-&quot;??_);_(@_)"/>
    <numFmt numFmtId="164" formatCode="#,##0.000"/>
    <numFmt numFmtId="165" formatCode="_(&quot;$&quot;* #,##0_);_(&quot;$&quot;* \(#,##0\);_(&quot;$&quot;* &quot;-&quot;??_);_(@_)"/>
    <numFmt numFmtId="166" formatCode="0.000"/>
    <numFmt numFmtId="167" formatCode="0.0&quot;%&quot;;@\ \ \ "/>
    <numFmt numFmtId="168" formatCode="0.0\x;@\ \ "/>
    <numFmt numFmtId="169" formatCode="0.00\x;@\ \ "/>
    <numFmt numFmtId="170" formatCode="0.0_%;@\ \ \ "/>
    <numFmt numFmtId="171" formatCode="0.0\x"/>
    <numFmt numFmtId="172" formatCode="_(&quot;$&quot;* #,##0.0_);_(&quot;$&quot;* \(#,##0.0\);_(&quot;$&quot;* &quot;-&quot;??_);_(@_)"/>
    <numFmt numFmtId="173" formatCode="0.0%"/>
    <numFmt numFmtId="174" formatCode="0.0%;\(0.0%\)"/>
    <numFmt numFmtId="175" formatCode="_(&quot;$&quot;* #,##0_);_(&quot;$&quot;* \(#,##0\);_(&quot;$&quot;* &quot;-&quot;?_);_(@_)"/>
    <numFmt numFmtId="176" formatCode="_(* #,##0_);_(* \(#,##0\);_(* &quot;-&quot;???_);_(@_)"/>
    <numFmt numFmtId="177" formatCode="_(* #,##0_);_(* \(#,##0\);_(* &quot;-&quot;?_);_(@_)"/>
    <numFmt numFmtId="178" formatCode="_(* #,##0.0_);_(* \(#,##0.0\);_(* &quot;-&quot;???_);_(@_)"/>
    <numFmt numFmtId="179" formatCode="_(* #,##0.00_);_(* \(#,##0.00\);_(* &quot;-&quot;???_);_(@_)"/>
    <numFmt numFmtId="180" formatCode="_([$$-409]* #,##0_);_([$$-409]* \(#,##0\);_([$$-409]* &quot;-&quot;??_);_(@_)"/>
  </numFmts>
  <fonts count="24">
    <font>
      <sz val="11"/>
      <color theme="1"/>
      <name val="Calibri"/>
      <family val="2"/>
      <scheme val="minor"/>
    </font>
    <font>
      <sz val="11"/>
      <color theme="1"/>
      <name val="Calibri"/>
      <family val="2"/>
      <scheme val="minor"/>
    </font>
    <font>
      <b/>
      <sz val="10"/>
      <color rgb="FF4D4D4F"/>
      <name val="Calibri"/>
      <family val="2"/>
      <scheme val="minor"/>
    </font>
    <font>
      <b/>
      <sz val="10"/>
      <color rgb="FF455560"/>
      <name val="Calibri"/>
      <family val="2"/>
      <scheme val="minor"/>
    </font>
    <font>
      <sz val="10"/>
      <color rgb="FF4D4D4F"/>
      <name val="Calibri"/>
      <family val="2"/>
      <scheme val="minor"/>
    </font>
    <font>
      <sz val="10"/>
      <color rgb="FF455560"/>
      <name val="Calibri"/>
      <family val="2"/>
      <scheme val="minor"/>
    </font>
    <font>
      <sz val="8"/>
      <color rgb="FF455560"/>
      <name val="Calibri"/>
      <family val="2"/>
      <scheme val="minor"/>
    </font>
    <font>
      <sz val="8"/>
      <color rgb="FF4D4D4F"/>
      <name val="Calibri"/>
      <family val="2"/>
      <scheme val="minor"/>
    </font>
    <font>
      <sz val="8"/>
      <name val="Calibri"/>
      <family val="2"/>
      <scheme val="minor"/>
    </font>
    <font>
      <sz val="10"/>
      <name val="Arial"/>
      <family val="2"/>
    </font>
    <font>
      <i/>
      <sz val="10"/>
      <color rgb="FF4D4D4F"/>
      <name val="Calibri"/>
      <family val="2"/>
      <scheme val="minor"/>
    </font>
    <font>
      <sz val="10"/>
      <color theme="1"/>
      <name val="Calibri"/>
      <family val="2"/>
      <scheme val="minor"/>
    </font>
    <font>
      <b/>
      <sz val="10"/>
      <color rgb="FF14487F"/>
      <name val="Calibri"/>
      <family val="2"/>
      <scheme val="minor"/>
    </font>
    <font>
      <sz val="12"/>
      <name val="SWISS"/>
    </font>
    <font>
      <b/>
      <i/>
      <sz val="8"/>
      <color rgb="FF4D4D4F"/>
      <name val="Calibri"/>
      <family val="2"/>
      <scheme val="minor"/>
    </font>
    <font>
      <sz val="10"/>
      <name val="Calibri"/>
      <family val="2"/>
      <scheme val="minor"/>
    </font>
    <font>
      <sz val="10"/>
      <color rgb="FF0000FF"/>
      <name val="Calibri"/>
      <family val="2"/>
      <scheme val="minor"/>
    </font>
    <font>
      <b/>
      <u/>
      <sz val="10"/>
      <color rgb="FF4D4D4F"/>
      <name val="Calibri"/>
      <family val="2"/>
      <scheme val="minor"/>
    </font>
    <font>
      <vertAlign val="superscript"/>
      <sz val="10"/>
      <color rgb="FF4D4D4F"/>
      <name val="Calibri"/>
      <family val="2"/>
      <scheme val="minor"/>
    </font>
    <font>
      <b/>
      <sz val="10"/>
      <color rgb="FF0000FF"/>
      <name val="Calibri"/>
      <family val="2"/>
      <scheme val="minor"/>
    </font>
    <font>
      <sz val="10"/>
      <color rgb="FF000000"/>
      <name val="Calibri"/>
      <family val="2"/>
    </font>
    <font>
      <b/>
      <u/>
      <sz val="10"/>
      <color rgb="FF000000"/>
      <name val="Calibri"/>
      <family val="2"/>
    </font>
    <font>
      <sz val="11"/>
      <color rgb="FF000000"/>
      <name val="Times New Roman"/>
      <family val="1"/>
      <charset val="1"/>
    </font>
    <font>
      <sz val="12"/>
      <color rgb="FF000000"/>
      <name val="Times New Roman"/>
      <family val="1"/>
      <charset val="1"/>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4">
    <border>
      <left/>
      <right/>
      <top/>
      <bottom/>
      <diagonal/>
    </border>
    <border>
      <left/>
      <right/>
      <top/>
      <bottom style="thin">
        <color rgb="FF4D4D4F"/>
      </bottom>
      <diagonal/>
    </border>
    <border>
      <left/>
      <right/>
      <top style="thin">
        <color rgb="FF4D4D4F"/>
      </top>
      <bottom style="medium">
        <color rgb="FF4D4D4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13" fillId="0" borderId="0"/>
    <xf numFmtId="44" fontId="1" fillId="0" borderId="0" applyFont="0" applyFill="0" applyBorder="0" applyAlignment="0" applyProtection="0"/>
  </cellStyleXfs>
  <cellXfs count="200">
    <xf numFmtId="0" fontId="0" fillId="0" borderId="0" xfId="0"/>
    <xf numFmtId="37" fontId="2" fillId="2" borderId="0" xfId="0" applyNumberFormat="1" applyFont="1" applyFill="1" applyAlignment="1">
      <alignment horizontal="centerContinuous" vertical="center"/>
    </xf>
    <xf numFmtId="0" fontId="2" fillId="2" borderId="0" xfId="0" applyFont="1" applyFill="1" applyAlignment="1" applyProtection="1">
      <alignment horizontal="center" vertical="center"/>
      <protection locked="0"/>
    </xf>
    <xf numFmtId="164" fontId="2" fillId="2" borderId="0" xfId="0" applyNumberFormat="1" applyFont="1" applyFill="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3" fillId="0" borderId="0" xfId="0" applyFont="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vertical="center"/>
      <protection locked="0"/>
    </xf>
    <xf numFmtId="0" fontId="4" fillId="2" borderId="2" xfId="0" applyFont="1" applyFill="1" applyBorder="1" applyAlignment="1" applyProtection="1">
      <alignment horizontal="center" vertical="center" wrapText="1"/>
      <protection locked="0"/>
    </xf>
    <xf numFmtId="164" fontId="4" fillId="0" borderId="2" xfId="0" applyNumberFormat="1" applyFont="1" applyBorder="1" applyAlignment="1" applyProtection="1">
      <alignment horizontal="center" vertical="center" wrapText="1"/>
      <protection locked="0"/>
    </xf>
    <xf numFmtId="164" fontId="4" fillId="2" borderId="2" xfId="0" applyNumberFormat="1" applyFont="1" applyFill="1" applyBorder="1" applyAlignment="1" applyProtection="1">
      <alignment horizontal="center" vertical="center" wrapText="1"/>
      <protection locked="0"/>
    </xf>
    <xf numFmtId="165"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165" fontId="4" fillId="2" borderId="2" xfId="0" applyNumberFormat="1" applyFont="1" applyFill="1" applyBorder="1" applyAlignment="1" applyProtection="1">
      <alignment horizontal="center" vertical="center" wrapText="1"/>
      <protection locked="0"/>
    </xf>
    <xf numFmtId="0" fontId="4" fillId="0" borderId="0" xfId="0" applyFont="1" applyAlignment="1" applyProtection="1">
      <alignment vertical="center"/>
      <protection locked="0"/>
    </xf>
    <xf numFmtId="165" fontId="5" fillId="2" borderId="0" xfId="0" applyNumberFormat="1" applyFont="1" applyFill="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xf numFmtId="164" fontId="5" fillId="2" borderId="0" xfId="0" applyNumberFormat="1" applyFont="1" applyFill="1" applyAlignment="1" applyProtection="1">
      <alignment horizontal="center" vertical="center" wrapText="1"/>
      <protection locked="0"/>
    </xf>
    <xf numFmtId="165" fontId="5" fillId="0" borderId="0" xfId="0" applyNumberFormat="1" applyFont="1" applyAlignment="1" applyProtection="1">
      <alignment horizontal="center" vertical="center" wrapText="1"/>
      <protection locked="0"/>
    </xf>
    <xf numFmtId="0" fontId="5" fillId="0" borderId="0" xfId="0" applyFont="1" applyAlignment="1" applyProtection="1">
      <alignment vertical="center"/>
      <protection locked="0"/>
    </xf>
    <xf numFmtId="0" fontId="6" fillId="2" borderId="0" xfId="0" applyFont="1" applyFill="1" applyAlignment="1" applyProtection="1">
      <alignment vertical="center"/>
      <protection locked="0"/>
    </xf>
    <xf numFmtId="37" fontId="4" fillId="2" borderId="0" xfId="0" applyNumberFormat="1" applyFont="1" applyFill="1" applyAlignment="1">
      <alignment horizontal="left" vertical="center"/>
    </xf>
    <xf numFmtId="37" fontId="4" fillId="0" borderId="0" xfId="0" applyNumberFormat="1" applyFont="1" applyAlignment="1">
      <alignment horizontal="left" vertical="center"/>
    </xf>
    <xf numFmtId="37" fontId="4" fillId="2" borderId="0" xfId="0" applyNumberFormat="1" applyFont="1" applyFill="1" applyAlignment="1">
      <alignment horizontal="center" vertical="center"/>
    </xf>
    <xf numFmtId="166" fontId="4" fillId="0" borderId="0" xfId="0" applyNumberFormat="1" applyFont="1" applyAlignment="1" applyProtection="1">
      <alignment horizontal="center"/>
      <protection locked="0"/>
    </xf>
    <xf numFmtId="0" fontId="7" fillId="2" borderId="0" xfId="0" applyFont="1" applyFill="1" applyAlignment="1" applyProtection="1">
      <alignment vertical="center"/>
      <protection locked="0"/>
    </xf>
    <xf numFmtId="170" fontId="4" fillId="2" borderId="0" xfId="0" applyNumberFormat="1" applyFont="1" applyFill="1" applyAlignment="1" applyProtection="1">
      <alignment horizontal="right"/>
      <protection locked="0"/>
    </xf>
    <xf numFmtId="37" fontId="4" fillId="0" borderId="0" xfId="0" applyNumberFormat="1" applyFont="1" applyAlignment="1" applyProtection="1">
      <alignment horizontal="right"/>
      <protection locked="0"/>
    </xf>
    <xf numFmtId="37" fontId="4" fillId="0" borderId="0" xfId="0" applyNumberFormat="1" applyFont="1" applyAlignment="1">
      <alignment horizontal="center" vertical="center"/>
    </xf>
    <xf numFmtId="0" fontId="7" fillId="0" borderId="0" xfId="0" applyFont="1" applyAlignment="1" applyProtection="1">
      <alignment vertical="center"/>
      <protection locked="0"/>
    </xf>
    <xf numFmtId="7" fontId="4" fillId="2" borderId="0" xfId="0" quotePrefix="1" applyNumberFormat="1" applyFont="1" applyFill="1" applyAlignment="1">
      <alignment horizontal="right" vertical="center"/>
    </xf>
    <xf numFmtId="7" fontId="4" fillId="0" borderId="0" xfId="0" quotePrefix="1" applyNumberFormat="1" applyFont="1" applyAlignment="1">
      <alignment horizontal="right" vertical="center"/>
    </xf>
    <xf numFmtId="171" fontId="4" fillId="2" borderId="0" xfId="0" applyNumberFormat="1" applyFont="1" applyFill="1" applyAlignment="1" applyProtection="1">
      <alignment horizontal="center" vertical="center"/>
      <protection locked="0"/>
    </xf>
    <xf numFmtId="171" fontId="4" fillId="0" borderId="0" xfId="0" applyNumberFormat="1" applyFont="1" applyAlignment="1" applyProtection="1">
      <alignment horizontal="center" vertical="center"/>
      <protection locked="0"/>
    </xf>
    <xf numFmtId="169" fontId="4" fillId="0" borderId="0" xfId="0" applyNumberFormat="1" applyFont="1" applyAlignment="1" applyProtection="1">
      <alignment horizontal="center" vertical="center"/>
      <protection locked="0"/>
    </xf>
    <xf numFmtId="37" fontId="4" fillId="0" borderId="3" xfId="0" applyNumberFormat="1" applyFont="1" applyBorder="1" applyAlignment="1">
      <alignment horizontal="center" vertical="center"/>
    </xf>
    <xf numFmtId="5" fontId="2" fillId="0" borderId="0" xfId="0" applyNumberFormat="1" applyFont="1" applyAlignment="1" applyProtection="1">
      <alignment horizontal="right"/>
      <protection locked="0"/>
    </xf>
    <xf numFmtId="172" fontId="2" fillId="2" borderId="0" xfId="0" applyNumberFormat="1" applyFont="1" applyFill="1" applyAlignment="1">
      <alignment horizontal="left" vertical="center"/>
    </xf>
    <xf numFmtId="172" fontId="2" fillId="2" borderId="0" xfId="0" applyNumberFormat="1" applyFont="1" applyFill="1" applyAlignment="1">
      <alignment horizontal="center" vertical="center"/>
    </xf>
    <xf numFmtId="43" fontId="2" fillId="0" borderId="0" xfId="0" applyNumberFormat="1" applyFont="1" applyAlignment="1" applyProtection="1">
      <alignment horizontal="right"/>
      <protection locked="0"/>
    </xf>
    <xf numFmtId="0" fontId="2" fillId="2" borderId="0" xfId="0" applyFont="1" applyFill="1" applyAlignment="1" applyProtection="1">
      <alignment horizontal="right" vertical="center"/>
      <protection locked="0"/>
    </xf>
    <xf numFmtId="168" fontId="2" fillId="0" borderId="0" xfId="0" applyNumberFormat="1" applyFont="1" applyAlignment="1" applyProtection="1">
      <alignment horizontal="right" vertical="center"/>
      <protection locked="0"/>
    </xf>
    <xf numFmtId="172" fontId="2" fillId="2" borderId="4" xfId="0" applyNumberFormat="1" applyFont="1" applyFill="1" applyBorder="1" applyAlignment="1">
      <alignment horizontal="left" vertical="center"/>
    </xf>
    <xf numFmtId="172" fontId="2" fillId="2" borderId="4" xfId="0" applyNumberFormat="1" applyFont="1" applyFill="1" applyBorder="1" applyAlignment="1">
      <alignment horizontal="center" vertical="center"/>
    </xf>
    <xf numFmtId="43" fontId="2" fillId="0" borderId="4" xfId="0" applyNumberFormat="1" applyFont="1" applyBorder="1" applyAlignment="1" applyProtection="1">
      <alignment horizontal="right"/>
      <protection locked="0"/>
    </xf>
    <xf numFmtId="5" fontId="2" fillId="0" borderId="4" xfId="0" applyNumberFormat="1" applyFont="1" applyBorder="1" applyAlignment="1" applyProtection="1">
      <alignment horizontal="right"/>
      <protection locked="0"/>
    </xf>
    <xf numFmtId="0" fontId="2" fillId="2" borderId="4" xfId="0" applyFont="1" applyFill="1" applyBorder="1" applyAlignment="1" applyProtection="1">
      <alignment horizontal="right" vertical="center"/>
      <protection locked="0"/>
    </xf>
    <xf numFmtId="168" fontId="2" fillId="0" borderId="4" xfId="0" applyNumberFormat="1" applyFont="1" applyBorder="1" applyAlignment="1" applyProtection="1">
      <alignment horizontal="right" vertical="center"/>
      <protection locked="0"/>
    </xf>
    <xf numFmtId="172" fontId="2" fillId="2" borderId="5" xfId="0" applyNumberFormat="1" applyFont="1" applyFill="1" applyBorder="1" applyAlignment="1">
      <alignment horizontal="left" vertical="center"/>
    </xf>
    <xf numFmtId="172" fontId="2" fillId="2" borderId="5" xfId="0" applyNumberFormat="1" applyFont="1" applyFill="1" applyBorder="1" applyAlignment="1">
      <alignment horizontal="center" vertical="center"/>
    </xf>
    <xf numFmtId="43" fontId="2" fillId="0" borderId="5" xfId="0" applyNumberFormat="1" applyFont="1" applyBorder="1" applyAlignment="1" applyProtection="1">
      <alignment horizontal="right"/>
      <protection locked="0"/>
    </xf>
    <xf numFmtId="5" fontId="2" fillId="0" borderId="5" xfId="0" applyNumberFormat="1" applyFont="1" applyBorder="1" applyAlignment="1" applyProtection="1">
      <alignment horizontal="right"/>
      <protection locked="0"/>
    </xf>
    <xf numFmtId="0" fontId="2" fillId="2" borderId="5" xfId="0" applyFont="1" applyFill="1" applyBorder="1" applyAlignment="1" applyProtection="1">
      <alignment horizontal="right" vertical="center"/>
      <protection locked="0"/>
    </xf>
    <xf numFmtId="168" fontId="2" fillId="0" borderId="5" xfId="0" applyNumberFormat="1" applyFont="1" applyBorder="1" applyAlignment="1" applyProtection="1">
      <alignment horizontal="right" vertical="center"/>
      <protection locked="0"/>
    </xf>
    <xf numFmtId="0" fontId="10" fillId="2" borderId="0" xfId="0" applyFont="1" applyFill="1" applyAlignment="1" applyProtection="1">
      <alignment vertical="center"/>
      <protection locked="0"/>
    </xf>
    <xf numFmtId="37" fontId="3" fillId="2" borderId="0" xfId="0" applyNumberFormat="1" applyFont="1" applyFill="1" applyAlignment="1">
      <alignment horizontal="centerContinuous" vertical="center"/>
    </xf>
    <xf numFmtId="0" fontId="2" fillId="2" borderId="0" xfId="0" applyFont="1" applyFill="1" applyAlignment="1" applyProtection="1">
      <alignment horizontal="centerContinuous" vertical="center"/>
      <protection locked="0"/>
    </xf>
    <xf numFmtId="0" fontId="4" fillId="0" borderId="0" xfId="0" applyFont="1" applyAlignment="1" applyProtection="1">
      <alignment horizontal="centerContinuous" vertical="center"/>
      <protection locked="0"/>
    </xf>
    <xf numFmtId="0" fontId="4" fillId="0" borderId="2" xfId="0" quotePrefix="1" applyFont="1" applyBorder="1" applyAlignment="1" applyProtection="1">
      <alignment horizontal="center" vertical="center" wrapText="1"/>
      <protection locked="0"/>
    </xf>
    <xf numFmtId="165" fontId="4" fillId="0" borderId="0" xfId="0" applyNumberFormat="1" applyFont="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165" fontId="4" fillId="2" borderId="0" xfId="0" applyNumberFormat="1" applyFont="1" applyFill="1" applyAlignment="1" applyProtection="1">
      <alignment horizontal="center" vertical="center" wrapText="1"/>
      <protection locked="0"/>
    </xf>
    <xf numFmtId="0" fontId="4" fillId="2" borderId="0" xfId="0" quotePrefix="1" applyFon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174" fontId="4" fillId="2" borderId="0" xfId="0" applyNumberFormat="1" applyFont="1" applyFill="1" applyAlignment="1">
      <alignment horizontal="center" vertical="center"/>
    </xf>
    <xf numFmtId="174" fontId="4" fillId="0" borderId="0" xfId="0" applyNumberFormat="1" applyFont="1" applyAlignment="1">
      <alignment horizontal="center" vertical="center"/>
    </xf>
    <xf numFmtId="0" fontId="12" fillId="0" borderId="1" xfId="0" applyFont="1" applyBorder="1" applyProtection="1">
      <protection locked="0"/>
    </xf>
    <xf numFmtId="0" fontId="12" fillId="0" borderId="1" xfId="0" applyFont="1" applyBorder="1" applyAlignment="1" applyProtection="1">
      <alignment horizontal="right"/>
      <protection locked="0"/>
    </xf>
    <xf numFmtId="0" fontId="14" fillId="0" borderId="0" xfId="0" applyFont="1" applyProtection="1">
      <protection locked="0"/>
    </xf>
    <xf numFmtId="0" fontId="4" fillId="0" borderId="0" xfId="0" applyFont="1" applyProtection="1">
      <protection locked="0"/>
    </xf>
    <xf numFmtId="0" fontId="0" fillId="0" borderId="0" xfId="0" applyProtection="1">
      <protection locked="0"/>
    </xf>
    <xf numFmtId="0" fontId="15" fillId="0" borderId="0" xfId="0" applyFont="1" applyProtection="1">
      <protection locked="0"/>
    </xf>
    <xf numFmtId="173" fontId="4" fillId="0" borderId="0" xfId="0" applyNumberFormat="1" applyFont="1" applyAlignment="1" applyProtection="1">
      <alignment horizontal="right"/>
      <protection locked="0"/>
    </xf>
    <xf numFmtId="173" fontId="16" fillId="0" borderId="0" xfId="6" applyNumberFormat="1" applyFont="1" applyAlignment="1">
      <alignment horizontal="center"/>
    </xf>
    <xf numFmtId="0" fontId="4" fillId="0" borderId="0" xfId="0" applyFont="1"/>
    <xf numFmtId="0" fontId="4" fillId="0" borderId="4" xfId="0" applyFont="1" applyBorder="1"/>
    <xf numFmtId="0" fontId="2" fillId="0" borderId="8" xfId="0" applyFont="1" applyBorder="1" applyAlignment="1">
      <alignment horizontal="centerContinuous"/>
    </xf>
    <xf numFmtId="0" fontId="2" fillId="0" borderId="7" xfId="0" applyFont="1" applyBorder="1" applyAlignment="1">
      <alignment horizontal="centerContinuous"/>
    </xf>
    <xf numFmtId="0" fontId="4" fillId="0" borderId="8" xfId="0" applyFont="1" applyBorder="1" applyAlignment="1">
      <alignment horizontal="centerContinuous"/>
    </xf>
    <xf numFmtId="0" fontId="2" fillId="0" borderId="3" xfId="0" applyFont="1" applyBorder="1" applyAlignment="1">
      <alignment horizontal="centerContinuous"/>
    </xf>
    <xf numFmtId="14" fontId="4" fillId="0" borderId="0" xfId="0" applyNumberFormat="1" applyFont="1" applyAlignment="1">
      <alignment horizontal="right"/>
    </xf>
    <xf numFmtId="10" fontId="4" fillId="0" borderId="0" xfId="0" applyNumberFormat="1" applyFont="1"/>
    <xf numFmtId="173" fontId="4" fillId="0" borderId="0" xfId="0" applyNumberFormat="1" applyFont="1"/>
    <xf numFmtId="43" fontId="4" fillId="0" borderId="0" xfId="0" applyNumberFormat="1" applyFont="1"/>
    <xf numFmtId="173" fontId="4" fillId="0" borderId="0" xfId="0" applyNumberFormat="1" applyFont="1" applyAlignment="1">
      <alignment horizontal="right"/>
    </xf>
    <xf numFmtId="0" fontId="4" fillId="0" borderId="0" xfId="6" applyFont="1"/>
    <xf numFmtId="0" fontId="4" fillId="0" borderId="3" xfId="0" applyFont="1" applyBorder="1" applyAlignment="1">
      <alignment horizontal="centerContinuous"/>
    </xf>
    <xf numFmtId="0" fontId="4" fillId="0" borderId="0" xfId="0" applyFont="1" applyAlignment="1">
      <alignment horizontal="centerContinuous"/>
    </xf>
    <xf numFmtId="0" fontId="4" fillId="0" borderId="0" xfId="0" applyFont="1" applyAlignment="1">
      <alignment horizontal="center"/>
    </xf>
    <xf numFmtId="0" fontId="4" fillId="0" borderId="5" xfId="0" applyFont="1" applyBorder="1" applyAlignment="1">
      <alignment horizontal="center"/>
    </xf>
    <xf numFmtId="49" fontId="4" fillId="0" borderId="0" xfId="6" applyNumberFormat="1" applyFont="1" applyAlignment="1">
      <alignment horizontal="center"/>
    </xf>
    <xf numFmtId="0" fontId="4" fillId="0" borderId="0" xfId="6" applyFont="1" applyAlignment="1">
      <alignment horizontal="center"/>
    </xf>
    <xf numFmtId="175" fontId="4" fillId="0" borderId="0" xfId="6" applyNumberFormat="1" applyFont="1"/>
    <xf numFmtId="173" fontId="4" fillId="0" borderId="0" xfId="6" applyNumberFormat="1" applyFont="1" applyAlignment="1">
      <alignment horizontal="center"/>
    </xf>
    <xf numFmtId="43" fontId="4" fillId="0" borderId="0" xfId="6" applyNumberFormat="1" applyFont="1" applyAlignment="1">
      <alignment horizontal="center"/>
    </xf>
    <xf numFmtId="177" fontId="4" fillId="0" borderId="0" xfId="6" applyNumberFormat="1" applyFont="1"/>
    <xf numFmtId="0" fontId="2" fillId="0" borderId="0" xfId="0" applyFont="1"/>
    <xf numFmtId="43" fontId="4" fillId="0" borderId="4" xfId="0" applyNumberFormat="1" applyFont="1" applyBorder="1"/>
    <xf numFmtId="173" fontId="4" fillId="0" borderId="0" xfId="6" applyNumberFormat="1" applyFont="1"/>
    <xf numFmtId="43" fontId="4" fillId="0" borderId="0" xfId="4" applyFont="1" applyFill="1" applyAlignment="1" applyProtection="1">
      <alignment horizontal="right"/>
    </xf>
    <xf numFmtId="173" fontId="4" fillId="0" borderId="0" xfId="5" applyNumberFormat="1" applyFont="1" applyFill="1" applyBorder="1" applyAlignment="1">
      <alignment horizontal="center"/>
    </xf>
    <xf numFmtId="173" fontId="4" fillId="0" borderId="0" xfId="0" applyNumberFormat="1" applyFont="1" applyAlignment="1">
      <alignment horizontal="center"/>
    </xf>
    <xf numFmtId="173" fontId="4" fillId="0" borderId="5" xfId="0" applyNumberFormat="1" applyFont="1" applyBorder="1" applyAlignment="1">
      <alignment horizontal="center"/>
    </xf>
    <xf numFmtId="10" fontId="4" fillId="0" borderId="0" xfId="0" applyNumberFormat="1" applyFont="1" applyAlignment="1">
      <alignment horizontal="center"/>
    </xf>
    <xf numFmtId="0" fontId="2" fillId="0" borderId="6" xfId="0" applyFont="1" applyBorder="1"/>
    <xf numFmtId="0" fontId="2" fillId="0" borderId="8" xfId="0" applyFont="1" applyBorder="1"/>
    <xf numFmtId="173" fontId="2" fillId="0" borderId="7" xfId="0" applyNumberFormat="1" applyFont="1" applyBorder="1" applyAlignment="1">
      <alignment horizontal="center"/>
    </xf>
    <xf numFmtId="0" fontId="4" fillId="0" borderId="5" xfId="0" applyFont="1" applyBorder="1"/>
    <xf numFmtId="0" fontId="2" fillId="0" borderId="6" xfId="0" applyFont="1" applyBorder="1" applyAlignment="1">
      <alignment horizontal="centerContinuous"/>
    </xf>
    <xf numFmtId="0" fontId="4" fillId="0" borderId="11" xfId="0" applyFont="1" applyBorder="1"/>
    <xf numFmtId="173" fontId="4" fillId="0" borderId="11" xfId="6" applyNumberFormat="1" applyFont="1" applyBorder="1" applyAlignment="1">
      <alignment horizontal="center"/>
    </xf>
    <xf numFmtId="0" fontId="10" fillId="0" borderId="0" xfId="0" applyFont="1" applyAlignment="1">
      <alignment horizontal="left" indent="1"/>
    </xf>
    <xf numFmtId="0" fontId="17" fillId="0" borderId="0" xfId="0" applyFont="1"/>
    <xf numFmtId="0" fontId="17" fillId="0" borderId="0" xfId="6" applyFont="1"/>
    <xf numFmtId="43" fontId="4" fillId="0" borderId="5" xfId="0" applyNumberFormat="1" applyFont="1" applyBorder="1"/>
    <xf numFmtId="0" fontId="2" fillId="0" borderId="0" xfId="0" applyFont="1" applyAlignment="1">
      <alignment horizontal="center"/>
    </xf>
    <xf numFmtId="0" fontId="2" fillId="0" borderId="5" xfId="0" applyFont="1" applyBorder="1" applyAlignment="1">
      <alignment horizontal="center"/>
    </xf>
    <xf numFmtId="10" fontId="4" fillId="0" borderId="0" xfId="5" applyNumberFormat="1" applyFont="1" applyFill="1" applyBorder="1" applyAlignment="1">
      <alignment horizontal="center"/>
    </xf>
    <xf numFmtId="173" fontId="4" fillId="0" borderId="4" xfId="0" applyNumberFormat="1" applyFont="1" applyBorder="1" applyAlignment="1">
      <alignment horizontal="center"/>
    </xf>
    <xf numFmtId="43" fontId="4" fillId="0" borderId="5" xfId="0" applyNumberFormat="1" applyFont="1" applyBorder="1" applyAlignment="1">
      <alignment horizontal="center"/>
    </xf>
    <xf numFmtId="43" fontId="4" fillId="0" borderId="0" xfId="0" applyNumberFormat="1" applyFont="1" applyAlignment="1">
      <alignment horizontal="center"/>
    </xf>
    <xf numFmtId="43" fontId="4" fillId="0" borderId="0" xfId="6" applyNumberFormat="1" applyFont="1"/>
    <xf numFmtId="37" fontId="4" fillId="0" borderId="0" xfId="6" applyNumberFormat="1" applyFont="1"/>
    <xf numFmtId="0" fontId="4" fillId="0" borderId="3" xfId="6" applyFont="1" applyBorder="1" applyAlignment="1">
      <alignment horizontal="center"/>
    </xf>
    <xf numFmtId="43" fontId="4" fillId="0" borderId="4" xfId="0" applyNumberFormat="1" applyFont="1" applyBorder="1" applyAlignment="1">
      <alignment horizontal="center"/>
    </xf>
    <xf numFmtId="176" fontId="16" fillId="0" borderId="0" xfId="6" applyNumberFormat="1" applyFont="1"/>
    <xf numFmtId="44" fontId="16" fillId="0" borderId="0" xfId="6" applyNumberFormat="1" applyFont="1"/>
    <xf numFmtId="43" fontId="16" fillId="0" borderId="0" xfId="4" applyFont="1" applyFill="1" applyProtection="1"/>
    <xf numFmtId="175" fontId="16" fillId="0" borderId="0" xfId="6" applyNumberFormat="1" applyFont="1"/>
    <xf numFmtId="177" fontId="16" fillId="0" borderId="0" xfId="6" applyNumberFormat="1" applyFont="1"/>
    <xf numFmtId="43" fontId="16" fillId="0" borderId="0" xfId="6" applyNumberFormat="1" applyFont="1"/>
    <xf numFmtId="10" fontId="16" fillId="3" borderId="3" xfId="0" applyNumberFormat="1" applyFont="1" applyFill="1" applyBorder="1"/>
    <xf numFmtId="175" fontId="4" fillId="0" borderId="0" xfId="0" applyNumberFormat="1" applyFont="1" applyAlignment="1" applyProtection="1">
      <alignment horizontal="right"/>
      <protection locked="0"/>
    </xf>
    <xf numFmtId="175" fontId="16" fillId="0" borderId="0" xfId="0" applyNumberFormat="1" applyFont="1" applyAlignment="1" applyProtection="1">
      <alignment horizontal="right"/>
      <protection locked="0"/>
    </xf>
    <xf numFmtId="0" fontId="11" fillId="0" borderId="0" xfId="0" applyFont="1" applyProtection="1">
      <protection locked="0"/>
    </xf>
    <xf numFmtId="0" fontId="18" fillId="2" borderId="0" xfId="0" applyFont="1" applyFill="1" applyAlignment="1" applyProtection="1">
      <alignment vertical="center"/>
      <protection locked="0"/>
    </xf>
    <xf numFmtId="166" fontId="16" fillId="0" borderId="0" xfId="0" applyNumberFormat="1" applyFont="1" applyAlignment="1" applyProtection="1">
      <alignment horizontal="center"/>
      <protection locked="0"/>
    </xf>
    <xf numFmtId="37" fontId="2" fillId="0" borderId="0" xfId="0" applyNumberFormat="1" applyFont="1" applyAlignment="1">
      <alignment horizontal="left" vertical="center"/>
    </xf>
    <xf numFmtId="0" fontId="2" fillId="2" borderId="0" xfId="0" applyFont="1" applyFill="1" applyAlignment="1" applyProtection="1">
      <alignment horizontal="right"/>
      <protection locked="0"/>
    </xf>
    <xf numFmtId="37" fontId="2" fillId="0" borderId="4" xfId="0" applyNumberFormat="1" applyFont="1" applyBorder="1" applyAlignment="1">
      <alignment horizontal="left" vertical="center"/>
    </xf>
    <xf numFmtId="0" fontId="2" fillId="2" borderId="4" xfId="0" applyFont="1" applyFill="1" applyBorder="1" applyAlignment="1" applyProtection="1">
      <alignment horizontal="right"/>
      <protection locked="0"/>
    </xf>
    <xf numFmtId="37" fontId="2" fillId="0" borderId="5" xfId="0" applyNumberFormat="1" applyFont="1" applyBorder="1" applyAlignment="1">
      <alignment horizontal="left" vertical="center"/>
    </xf>
    <xf numFmtId="0" fontId="2" fillId="2" borderId="5" xfId="0" applyFont="1" applyFill="1" applyBorder="1" applyAlignment="1" applyProtection="1">
      <alignment horizontal="right"/>
      <protection locked="0"/>
    </xf>
    <xf numFmtId="167" fontId="2" fillId="0" borderId="0" xfId="0" applyNumberFormat="1" applyFont="1" applyAlignment="1" applyProtection="1">
      <alignment horizontal="right"/>
      <protection locked="0"/>
    </xf>
    <xf numFmtId="167" fontId="2" fillId="0" borderId="4" xfId="0" applyNumberFormat="1" applyFont="1" applyBorder="1" applyAlignment="1" applyProtection="1">
      <alignment horizontal="right"/>
      <protection locked="0"/>
    </xf>
    <xf numFmtId="167" fontId="2" fillId="0" borderId="5" xfId="0" applyNumberFormat="1" applyFont="1" applyBorder="1" applyAlignment="1" applyProtection="1">
      <alignment horizontal="right"/>
      <protection locked="0"/>
    </xf>
    <xf numFmtId="173" fontId="2" fillId="0" borderId="4" xfId="2" applyNumberFormat="1" applyFont="1" applyBorder="1" applyAlignment="1" applyProtection="1">
      <alignment horizontal="right" vertical="center"/>
      <protection locked="0"/>
    </xf>
    <xf numFmtId="173" fontId="2" fillId="0" borderId="0" xfId="2" applyNumberFormat="1" applyFont="1" applyBorder="1" applyAlignment="1" applyProtection="1">
      <alignment horizontal="right" vertical="center"/>
      <protection locked="0"/>
    </xf>
    <xf numFmtId="173" fontId="2" fillId="0" borderId="5" xfId="2" applyNumberFormat="1" applyFont="1" applyBorder="1" applyAlignment="1" applyProtection="1">
      <alignment horizontal="right" vertical="center"/>
      <protection locked="0"/>
    </xf>
    <xf numFmtId="173" fontId="16" fillId="2" borderId="0" xfId="2" applyNumberFormat="1" applyFont="1" applyFill="1" applyAlignment="1" applyProtection="1">
      <alignment horizontal="right"/>
      <protection locked="0"/>
    </xf>
    <xf numFmtId="37" fontId="10" fillId="0" borderId="0" xfId="0" applyNumberFormat="1"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168" fontId="4" fillId="0" borderId="0" xfId="0" applyNumberFormat="1" applyFont="1" applyAlignment="1">
      <alignment horizontal="center"/>
    </xf>
    <xf numFmtId="169" fontId="4" fillId="0" borderId="0" xfId="0" applyNumberFormat="1" applyFont="1" applyAlignment="1">
      <alignment horizontal="center"/>
    </xf>
    <xf numFmtId="168" fontId="2" fillId="0" borderId="4" xfId="0" applyNumberFormat="1" applyFont="1" applyBorder="1" applyAlignment="1" applyProtection="1">
      <alignment horizontal="center" vertical="center"/>
      <protection locked="0"/>
    </xf>
    <xf numFmtId="168" fontId="2" fillId="0" borderId="0" xfId="0" applyNumberFormat="1" applyFont="1" applyAlignment="1" applyProtection="1">
      <alignment horizontal="center" vertical="center"/>
      <protection locked="0"/>
    </xf>
    <xf numFmtId="168" fontId="2" fillId="0" borderId="5" xfId="0" applyNumberFormat="1" applyFont="1" applyBorder="1" applyAlignment="1" applyProtection="1">
      <alignment horizontal="center" vertical="center"/>
      <protection locked="0"/>
    </xf>
    <xf numFmtId="0" fontId="0" fillId="0" borderId="0" xfId="0" applyAlignment="1">
      <alignment horizontal="center"/>
    </xf>
    <xf numFmtId="0" fontId="2" fillId="0" borderId="9" xfId="6" applyFont="1" applyBorder="1"/>
    <xf numFmtId="173" fontId="16" fillId="3" borderId="11" xfId="2" applyNumberFormat="1" applyFont="1" applyFill="1" applyBorder="1" applyAlignment="1">
      <alignment horizontal="center"/>
    </xf>
    <xf numFmtId="43" fontId="16" fillId="3" borderId="10" xfId="1" applyFont="1" applyFill="1" applyBorder="1"/>
    <xf numFmtId="168" fontId="19" fillId="3" borderId="11" xfId="0" applyNumberFormat="1" applyFont="1" applyFill="1" applyBorder="1" applyAlignment="1" applyProtection="1">
      <alignment horizontal="center" vertical="center"/>
      <protection locked="0"/>
    </xf>
    <xf numFmtId="43" fontId="2" fillId="0" borderId="4" xfId="6" applyNumberFormat="1" applyFont="1" applyBorder="1" applyAlignment="1">
      <alignment horizontal="right"/>
    </xf>
    <xf numFmtId="10" fontId="16" fillId="2" borderId="0" xfId="2" applyNumberFormat="1" applyFont="1" applyFill="1" applyAlignment="1" applyProtection="1">
      <alignment horizontal="right"/>
      <protection locked="0"/>
    </xf>
    <xf numFmtId="10" fontId="16" fillId="0" borderId="0" xfId="0" applyNumberFormat="1" applyFont="1" applyAlignment="1" applyProtection="1">
      <alignment horizontal="right"/>
      <protection locked="0"/>
    </xf>
    <xf numFmtId="10" fontId="5" fillId="0" borderId="0" xfId="0" applyNumberFormat="1" applyFont="1" applyAlignment="1" applyProtection="1">
      <alignment vertical="center"/>
      <protection locked="0"/>
    </xf>
    <xf numFmtId="2" fontId="5" fillId="0" borderId="0" xfId="0" applyNumberFormat="1" applyFont="1" applyAlignment="1" applyProtection="1">
      <alignment vertical="center"/>
      <protection locked="0"/>
    </xf>
    <xf numFmtId="37" fontId="2" fillId="2" borderId="0" xfId="0" applyNumberFormat="1" applyFont="1" applyFill="1" applyAlignment="1">
      <alignment horizontal="left" vertical="center"/>
    </xf>
    <xf numFmtId="37" fontId="4" fillId="4" borderId="0" xfId="0" applyNumberFormat="1" applyFont="1" applyFill="1" applyAlignment="1">
      <alignment horizontal="left" vertical="center"/>
    </xf>
    <xf numFmtId="37" fontId="2" fillId="4" borderId="0" xfId="0" applyNumberFormat="1" applyFont="1" applyFill="1" applyAlignment="1">
      <alignment horizontal="left" vertical="center"/>
    </xf>
    <xf numFmtId="37" fontId="2" fillId="2" borderId="12" xfId="0" applyNumberFormat="1" applyFont="1" applyFill="1" applyBorder="1" applyAlignment="1">
      <alignment horizontal="left" vertical="center"/>
    </xf>
    <xf numFmtId="37" fontId="4" fillId="0" borderId="13" xfId="0" applyNumberFormat="1" applyFont="1" applyBorder="1" applyAlignment="1">
      <alignment horizontal="center" vertical="center"/>
    </xf>
    <xf numFmtId="37" fontId="4" fillId="2" borderId="12" xfId="0" applyNumberFormat="1" applyFont="1" applyFill="1" applyBorder="1" applyAlignment="1">
      <alignment horizontal="center" vertical="center"/>
    </xf>
    <xf numFmtId="166" fontId="4" fillId="0" borderId="12" xfId="0" applyNumberFormat="1" applyFont="1" applyBorder="1" applyAlignment="1" applyProtection="1">
      <alignment horizontal="center"/>
      <protection locked="0"/>
    </xf>
    <xf numFmtId="37" fontId="4" fillId="0" borderId="12" xfId="0" applyNumberFormat="1" applyFont="1" applyBorder="1" applyAlignment="1" applyProtection="1">
      <alignment horizontal="right"/>
      <protection locked="0"/>
    </xf>
    <xf numFmtId="37" fontId="4" fillId="0" borderId="12" xfId="0" applyNumberFormat="1" applyFont="1" applyBorder="1" applyAlignment="1">
      <alignment horizontal="left" vertical="center"/>
    </xf>
    <xf numFmtId="0" fontId="0" fillId="0" borderId="12" xfId="0" applyBorder="1"/>
    <xf numFmtId="168" fontId="4" fillId="0" borderId="12" xfId="0" applyNumberFormat="1" applyFont="1" applyBorder="1" applyAlignment="1">
      <alignment horizontal="center"/>
    </xf>
    <xf numFmtId="169" fontId="4" fillId="0" borderId="12" xfId="0" applyNumberFormat="1" applyFont="1" applyBorder="1" applyAlignment="1">
      <alignment horizontal="center"/>
    </xf>
    <xf numFmtId="0" fontId="7" fillId="2" borderId="12" xfId="0" applyFont="1" applyFill="1" applyBorder="1" applyAlignment="1" applyProtection="1">
      <alignment vertical="center"/>
      <protection locked="0"/>
    </xf>
    <xf numFmtId="0" fontId="7" fillId="0" borderId="12" xfId="0" applyFont="1" applyBorder="1" applyAlignment="1" applyProtection="1">
      <alignment horizontal="center" vertical="center"/>
      <protection locked="0"/>
    </xf>
    <xf numFmtId="44" fontId="16" fillId="0" borderId="12" xfId="6" applyNumberFormat="1" applyFont="1" applyBorder="1"/>
    <xf numFmtId="178" fontId="16" fillId="0" borderId="0" xfId="6" applyNumberFormat="1" applyFont="1"/>
    <xf numFmtId="175" fontId="4" fillId="0" borderId="12" xfId="0" applyNumberFormat="1" applyFont="1" applyBorder="1" applyAlignment="1" applyProtection="1">
      <alignment horizontal="right"/>
      <protection locked="0"/>
    </xf>
    <xf numFmtId="178" fontId="16" fillId="0" borderId="12" xfId="6" applyNumberFormat="1" applyFont="1" applyBorder="1"/>
    <xf numFmtId="175" fontId="16" fillId="0" borderId="12" xfId="6" applyNumberFormat="1" applyFont="1" applyBorder="1"/>
    <xf numFmtId="179" fontId="16" fillId="0" borderId="0" xfId="6" applyNumberFormat="1" applyFont="1"/>
    <xf numFmtId="43" fontId="16" fillId="0" borderId="0" xfId="4" applyFont="1"/>
    <xf numFmtId="173" fontId="16" fillId="3" borderId="3" xfId="0" applyNumberFormat="1" applyFont="1" applyFill="1" applyBorder="1"/>
    <xf numFmtId="180" fontId="16" fillId="0" borderId="0" xfId="6" applyNumberFormat="1" applyFont="1"/>
    <xf numFmtId="165" fontId="16" fillId="0" borderId="0" xfId="7" applyNumberFormat="1" applyFont="1" applyAlignment="1" applyProtection="1">
      <alignment horizontal="right"/>
      <protection locked="0"/>
    </xf>
    <xf numFmtId="165" fontId="16" fillId="0" borderId="12" xfId="7" applyNumberFormat="1" applyFont="1" applyBorder="1" applyAlignment="1" applyProtection="1">
      <alignment horizontal="right"/>
      <protection locked="0"/>
    </xf>
    <xf numFmtId="165" fontId="16" fillId="0" borderId="0" xfId="7" applyNumberFormat="1" applyFont="1" applyBorder="1" applyAlignment="1" applyProtection="1">
      <alignment horizontal="right"/>
      <protection locked="0"/>
    </xf>
    <xf numFmtId="0" fontId="23" fillId="0" borderId="0" xfId="0" applyFont="1"/>
  </cellXfs>
  <cellStyles count="8">
    <cellStyle name="Comma" xfId="1" builtinId="3"/>
    <cellStyle name="Comma 2" xfId="4" xr:uid="{B7F05203-2FB2-475A-A9C8-A7D44C5F1DC8}"/>
    <cellStyle name="Currency" xfId="7" builtinId="4"/>
    <cellStyle name="Normal" xfId="0" builtinId="0"/>
    <cellStyle name="Normal 2" xfId="3" xr:uid="{F3C2A965-3E8D-4401-A84C-C3628D1F6834}"/>
    <cellStyle name="Normal_Short Form WACC - Oct. 00" xfId="6" xr:uid="{CFD68C73-658C-49E9-8D21-8FF4D04946E2}"/>
    <cellStyle name="Percent" xfId="2" builtinId="5"/>
    <cellStyle name="Percent 2" xfId="5" xr:uid="{3F1A28F0-F151-48A0-BD38-48F789E4E692}"/>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FF"/>
      <color rgb="FF4D4D4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capitaliq-com.libproxy1.usc.edu/CIQDotNet/Financial/IncomeStatement.aspx?CompanyId=289813109&amp;fromSearchProfiles=true"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CFA2-6044-420B-9262-77933643CED0}">
  <sheetPr>
    <pageSetUpPr fitToPage="1"/>
  </sheetPr>
  <dimension ref="A1:V39"/>
  <sheetViews>
    <sheetView showGridLines="0" tabSelected="1" view="pageBreakPreview" zoomScale="111" zoomScaleNormal="88" zoomScaleSheetLayoutView="100" workbookViewId="0">
      <selection activeCell="B1" sqref="B1"/>
    </sheetView>
  </sheetViews>
  <sheetFormatPr defaultColWidth="8.85546875" defaultRowHeight="15"/>
  <cols>
    <col min="1" max="1" width="4" customWidth="1"/>
    <col min="2" max="2" width="30.140625" customWidth="1"/>
    <col min="3" max="3" width="8" bestFit="1" customWidth="1"/>
    <col min="4" max="4" width="7.85546875" bestFit="1" customWidth="1"/>
    <col min="5" max="5" width="6.85546875" bestFit="1" customWidth="1"/>
    <col min="6" max="6" width="12.85546875" bestFit="1" customWidth="1"/>
    <col min="7" max="7" width="13.140625" customWidth="1"/>
    <col min="8" max="8" width="11.42578125" bestFit="1" customWidth="1"/>
    <col min="9" max="9" width="11.7109375" bestFit="1" customWidth="1"/>
    <col min="10" max="10" width="11" bestFit="1" customWidth="1"/>
    <col min="11" max="11" width="9.7109375" bestFit="1" customWidth="1"/>
    <col min="12" max="12" width="3.42578125" customWidth="1"/>
    <col min="15" max="15" width="9.42578125" bestFit="1" customWidth="1"/>
    <col min="16" max="16" width="6.140625" customWidth="1"/>
    <col min="17" max="17" width="10.85546875" bestFit="1" customWidth="1"/>
    <col min="18" max="19" width="9.42578125" bestFit="1" customWidth="1"/>
    <col min="20" max="20" width="2.7109375" customWidth="1"/>
    <col min="21" max="21" width="7.85546875" bestFit="1" customWidth="1"/>
    <col min="22" max="22" width="1.42578125" customWidth="1"/>
  </cols>
  <sheetData>
    <row r="1" spans="1:22" ht="15.75">
      <c r="B1" s="199" t="s">
        <v>0</v>
      </c>
    </row>
    <row r="2" spans="1:22">
      <c r="B2" s="70" t="s">
        <v>1</v>
      </c>
      <c r="C2" s="70"/>
      <c r="D2" s="70"/>
      <c r="E2" s="70"/>
      <c r="F2" s="70"/>
      <c r="G2" s="70"/>
      <c r="H2" s="70"/>
      <c r="I2" s="70"/>
      <c r="J2" s="70"/>
      <c r="K2" s="70"/>
      <c r="L2" s="70"/>
      <c r="M2" s="70"/>
      <c r="N2" s="70"/>
      <c r="O2" s="70"/>
      <c r="P2" s="70"/>
      <c r="Q2" s="70"/>
      <c r="R2" s="70"/>
      <c r="S2" s="70"/>
      <c r="T2" s="70"/>
      <c r="U2" s="70"/>
      <c r="V2" s="71" t="str">
        <f>"As of "&amp;TEXT(WACC!$F$7,"mmmm dd, yyyy")</f>
        <v>As of September 30, 2024</v>
      </c>
    </row>
    <row r="3" spans="1:22">
      <c r="B3" s="72" t="s">
        <v>2</v>
      </c>
      <c r="C3" s="73"/>
      <c r="D3" s="73"/>
      <c r="E3" s="73"/>
      <c r="F3" s="73"/>
      <c r="G3" s="73"/>
      <c r="H3" s="73"/>
      <c r="I3" s="73"/>
      <c r="J3" s="73"/>
      <c r="K3" s="73"/>
      <c r="L3" s="73"/>
      <c r="M3" s="73"/>
      <c r="N3" s="73"/>
      <c r="O3" s="73"/>
      <c r="P3" s="73"/>
      <c r="Q3" s="73"/>
      <c r="R3" s="73"/>
      <c r="S3" s="73"/>
      <c r="T3" s="74"/>
    </row>
    <row r="4" spans="1:22">
      <c r="B4" s="73"/>
      <c r="C4" s="73"/>
      <c r="D4" s="73"/>
      <c r="E4" s="73"/>
      <c r="F4" s="73"/>
      <c r="G4" s="73"/>
      <c r="H4" s="73"/>
      <c r="I4" s="73"/>
      <c r="J4" s="73"/>
      <c r="K4" s="73"/>
      <c r="L4" s="73"/>
      <c r="M4" s="73"/>
      <c r="N4" s="73"/>
      <c r="O4" s="73"/>
      <c r="P4" s="73"/>
      <c r="Q4" s="73"/>
      <c r="R4" s="73"/>
      <c r="S4" s="73"/>
      <c r="T4" s="74"/>
    </row>
    <row r="5" spans="1:22">
      <c r="B5" s="2" t="s">
        <v>3</v>
      </c>
      <c r="C5" s="2"/>
      <c r="D5" s="2"/>
      <c r="E5" s="2"/>
      <c r="F5" s="3" t="s">
        <v>4</v>
      </c>
      <c r="G5" s="3"/>
      <c r="H5" s="3"/>
      <c r="I5" s="3"/>
      <c r="J5" s="3"/>
      <c r="K5" s="3"/>
      <c r="L5" s="2"/>
      <c r="M5" s="4" t="s">
        <v>5</v>
      </c>
      <c r="N5" s="4"/>
      <c r="O5" s="4"/>
      <c r="P5" s="4"/>
      <c r="Q5" s="4"/>
      <c r="R5" s="4"/>
      <c r="S5" s="4"/>
    </row>
    <row r="6" spans="1:22" ht="72" customHeight="1" thickBot="1">
      <c r="B6" s="6" t="s">
        <v>6</v>
      </c>
      <c r="C6" s="6" t="s">
        <v>7</v>
      </c>
      <c r="D6" s="8" t="s">
        <v>8</v>
      </c>
      <c r="E6" s="8" t="s">
        <v>9</v>
      </c>
      <c r="F6" s="9" t="str">
        <f>"Common Stock Price on "&amp;TEXT(WACC!$F$7,"mmmm dd, yyyy")</f>
        <v>Common Stock Price on September 30, 2024</v>
      </c>
      <c r="G6" s="10" t="s">
        <v>10</v>
      </c>
      <c r="H6" s="10" t="s">
        <v>11</v>
      </c>
      <c r="I6" s="10" t="s">
        <v>12</v>
      </c>
      <c r="J6" s="10" t="s">
        <v>13</v>
      </c>
      <c r="K6" s="10" t="s">
        <v>14</v>
      </c>
      <c r="L6" s="7"/>
      <c r="M6" s="11" t="s">
        <v>15</v>
      </c>
      <c r="N6" s="12" t="s">
        <v>16</v>
      </c>
      <c r="O6" s="12" t="s">
        <v>17</v>
      </c>
      <c r="P6" s="12"/>
      <c r="Q6" s="13" t="s">
        <v>18</v>
      </c>
      <c r="R6" s="13" t="s">
        <v>19</v>
      </c>
      <c r="S6" s="11" t="s">
        <v>20</v>
      </c>
      <c r="U6" s="61"/>
    </row>
    <row r="7" spans="1:22" ht="4.7" customHeight="1">
      <c r="A7" s="30"/>
      <c r="B7" s="16"/>
      <c r="C7" s="17"/>
      <c r="D7" s="16"/>
      <c r="E7" s="16"/>
      <c r="F7" s="18"/>
      <c r="G7" s="18"/>
      <c r="H7" s="18"/>
      <c r="I7" s="18"/>
      <c r="J7" s="18"/>
      <c r="K7" s="18"/>
      <c r="L7" s="17"/>
      <c r="U7" s="30"/>
    </row>
    <row r="8" spans="1:22">
      <c r="A8" s="67"/>
      <c r="B8" s="175" t="s">
        <v>21</v>
      </c>
      <c r="C8" s="36" t="s">
        <v>22</v>
      </c>
      <c r="D8" s="24" t="s">
        <v>23</v>
      </c>
      <c r="E8" s="140"/>
      <c r="F8" s="130">
        <v>109.49</v>
      </c>
      <c r="G8" s="188">
        <v>230.3</v>
      </c>
      <c r="H8" s="136">
        <f t="shared" ref="H8:H13" si="0">G8*F8</f>
        <v>25215.546999999999</v>
      </c>
      <c r="I8" s="132">
        <v>8188.8</v>
      </c>
      <c r="J8" s="132">
        <v>5489.9</v>
      </c>
      <c r="K8" s="28">
        <f>H8+I8-J8</f>
        <v>27914.447</v>
      </c>
      <c r="L8" s="23"/>
      <c r="M8" s="137">
        <v>1534.7</v>
      </c>
      <c r="N8" s="137">
        <v>2341.9699999999998</v>
      </c>
      <c r="O8" s="137">
        <v>2591.8200000000002</v>
      </c>
      <c r="Q8" s="137">
        <v>23315.5</v>
      </c>
      <c r="R8" s="137">
        <v>26755.360000000001</v>
      </c>
      <c r="S8" s="137">
        <v>29168.16</v>
      </c>
      <c r="U8" s="67"/>
    </row>
    <row r="9" spans="1:22">
      <c r="A9" s="67"/>
      <c r="B9" s="173" t="s">
        <v>24</v>
      </c>
      <c r="C9" s="36" t="s">
        <v>25</v>
      </c>
      <c r="D9" s="24" t="s">
        <v>23</v>
      </c>
      <c r="E9" s="140"/>
      <c r="F9" s="130">
        <v>123.71</v>
      </c>
      <c r="G9" s="188">
        <v>81.099999999999994</v>
      </c>
      <c r="H9" s="136">
        <f t="shared" si="0"/>
        <v>10032.880999999999</v>
      </c>
      <c r="I9" s="132">
        <v>2988.7</v>
      </c>
      <c r="J9" s="132">
        <v>457.4</v>
      </c>
      <c r="K9" s="28">
        <f>H9+I9-J9</f>
        <v>12564.180999999999</v>
      </c>
      <c r="L9" s="23"/>
      <c r="M9" s="196">
        <v>655.7</v>
      </c>
      <c r="N9" s="196">
        <v>1433.95</v>
      </c>
      <c r="O9" s="196">
        <v>1717.64</v>
      </c>
      <c r="Q9" s="196">
        <v>2776.1</v>
      </c>
      <c r="R9" s="196">
        <v>3110.51</v>
      </c>
      <c r="S9" s="196">
        <v>3479.11</v>
      </c>
      <c r="U9" s="67"/>
    </row>
    <row r="10" spans="1:22">
      <c r="A10" s="67"/>
      <c r="B10" s="175" t="s">
        <v>26</v>
      </c>
      <c r="C10" s="36" t="s">
        <v>27</v>
      </c>
      <c r="D10" s="24" t="s">
        <v>23</v>
      </c>
      <c r="E10" s="25"/>
      <c r="F10" s="130">
        <v>4.55</v>
      </c>
      <c r="G10" s="188">
        <v>375.7</v>
      </c>
      <c r="H10" s="136">
        <f t="shared" si="0"/>
        <v>1709.4349999999999</v>
      </c>
      <c r="I10" s="132">
        <v>8463.1</v>
      </c>
      <c r="J10" s="132">
        <v>527.4</v>
      </c>
      <c r="K10" s="28">
        <f t="shared" ref="K10:K15" si="1">H10+I10-J10</f>
        <v>9645.1350000000002</v>
      </c>
      <c r="L10" s="23"/>
      <c r="M10" s="196">
        <v>198.3</v>
      </c>
      <c r="N10" s="196">
        <v>525.67999999999995</v>
      </c>
      <c r="O10" s="196">
        <v>642.89</v>
      </c>
      <c r="Q10" s="196">
        <v>4435.2</v>
      </c>
      <c r="R10" s="196">
        <v>5128.3500000000004</v>
      </c>
      <c r="S10" s="196">
        <v>5420.58</v>
      </c>
      <c r="U10" s="67"/>
    </row>
    <row r="11" spans="1:22">
      <c r="A11" s="67"/>
      <c r="B11" s="141" t="s">
        <v>28</v>
      </c>
      <c r="C11" s="36" t="s">
        <v>29</v>
      </c>
      <c r="D11" s="24" t="s">
        <v>23</v>
      </c>
      <c r="E11" s="25"/>
      <c r="F11" s="130">
        <v>42.53</v>
      </c>
      <c r="G11" s="188">
        <v>48.5</v>
      </c>
      <c r="H11" s="136">
        <f t="shared" si="0"/>
        <v>2062.7049999999999</v>
      </c>
      <c r="I11" s="132">
        <v>1145.4000000000001</v>
      </c>
      <c r="J11" s="132">
        <v>37.299999999999997</v>
      </c>
      <c r="K11" s="28">
        <f t="shared" si="1"/>
        <v>3170.8049999999998</v>
      </c>
      <c r="L11" s="23"/>
      <c r="M11" s="196">
        <v>183.6</v>
      </c>
      <c r="N11" s="196">
        <v>213.65</v>
      </c>
      <c r="O11" s="196">
        <v>224.85</v>
      </c>
      <c r="Q11" s="196">
        <v>955.8</v>
      </c>
      <c r="R11" s="196">
        <v>1006.85</v>
      </c>
      <c r="S11" s="196">
        <v>1056.1300000000001</v>
      </c>
      <c r="U11" s="67"/>
    </row>
    <row r="12" spans="1:22">
      <c r="A12" s="67"/>
      <c r="B12" s="141" t="s">
        <v>30</v>
      </c>
      <c r="C12" s="36" t="s">
        <v>31</v>
      </c>
      <c r="D12" s="24" t="s">
        <v>23</v>
      </c>
      <c r="E12" s="25"/>
      <c r="F12" s="130">
        <v>16.18</v>
      </c>
      <c r="G12" s="188">
        <v>169.3</v>
      </c>
      <c r="H12" s="136">
        <f t="shared" si="0"/>
        <v>2739.2740000000003</v>
      </c>
      <c r="I12" s="132">
        <v>714.8</v>
      </c>
      <c r="J12" s="132">
        <v>94.7</v>
      </c>
      <c r="K12" s="28">
        <f t="shared" si="1"/>
        <v>3359.3740000000007</v>
      </c>
      <c r="L12" s="23"/>
      <c r="M12" s="196">
        <v>189.2</v>
      </c>
      <c r="N12" s="196">
        <v>199.51</v>
      </c>
      <c r="O12" s="196">
        <v>236.48</v>
      </c>
      <c r="Q12" s="196">
        <v>843.6</v>
      </c>
      <c r="R12" s="196">
        <v>849.46</v>
      </c>
      <c r="S12" s="196">
        <v>925.12</v>
      </c>
      <c r="U12" s="67"/>
    </row>
    <row r="13" spans="1:22">
      <c r="A13" s="67"/>
      <c r="B13" s="176" t="s">
        <v>32</v>
      </c>
      <c r="C13" s="177" t="s">
        <v>33</v>
      </c>
      <c r="D13" s="178" t="s">
        <v>23</v>
      </c>
      <c r="E13" s="179"/>
      <c r="F13" s="187">
        <v>71.53</v>
      </c>
      <c r="G13" s="190">
        <v>236.2</v>
      </c>
      <c r="H13" s="189">
        <f t="shared" si="0"/>
        <v>16895.385999999999</v>
      </c>
      <c r="I13" s="191">
        <v>2928</v>
      </c>
      <c r="J13" s="191">
        <v>2666</v>
      </c>
      <c r="K13" s="180">
        <f t="shared" si="1"/>
        <v>17157.385999999999</v>
      </c>
      <c r="L13" s="181"/>
      <c r="M13" s="197">
        <v>791</v>
      </c>
      <c r="N13" s="197">
        <v>1030.71</v>
      </c>
      <c r="O13" s="197">
        <v>1186.1600000000001</v>
      </c>
      <c r="P13" s="182"/>
      <c r="Q13" s="197">
        <v>3709</v>
      </c>
      <c r="R13" s="197">
        <v>4248.41</v>
      </c>
      <c r="S13" s="197">
        <v>4591.79</v>
      </c>
      <c r="U13" s="67"/>
    </row>
    <row r="14" spans="1:22">
      <c r="A14" s="67"/>
      <c r="Q14" s="198"/>
      <c r="U14" s="67"/>
    </row>
    <row r="15" spans="1:22">
      <c r="A15" s="67"/>
      <c r="B15" s="141" t="s">
        <v>34</v>
      </c>
      <c r="C15" s="36" t="s">
        <v>35</v>
      </c>
      <c r="D15" s="24" t="s">
        <v>23</v>
      </c>
      <c r="E15" s="25"/>
      <c r="F15" s="130">
        <v>208.26</v>
      </c>
      <c r="G15" s="129">
        <v>24</v>
      </c>
      <c r="H15" s="136">
        <f>G15*F15</f>
        <v>4998.24</v>
      </c>
      <c r="I15" s="132">
        <v>1093.4000000000001</v>
      </c>
      <c r="J15" s="132">
        <v>52.3</v>
      </c>
      <c r="K15" s="28">
        <f t="shared" si="1"/>
        <v>6039.3399999999992</v>
      </c>
      <c r="L15" s="23"/>
      <c r="M15" s="196">
        <v>155.4</v>
      </c>
      <c r="N15" s="196">
        <v>84.1</v>
      </c>
      <c r="O15" s="196">
        <v>91.93</v>
      </c>
      <c r="Q15" s="196">
        <v>1037.4000000000001</v>
      </c>
      <c r="R15" s="196">
        <v>1046.76</v>
      </c>
      <c r="S15" s="196">
        <v>1111.97</v>
      </c>
      <c r="U15" s="67"/>
    </row>
    <row r="16" spans="1:22" ht="3" customHeight="1">
      <c r="A16" s="67"/>
    </row>
    <row r="17" spans="1:21">
      <c r="A17" s="67"/>
      <c r="M17" s="4" t="s">
        <v>36</v>
      </c>
      <c r="N17" s="4"/>
      <c r="O17" s="4"/>
      <c r="P17" s="4"/>
      <c r="Q17" s="4"/>
      <c r="R17" s="4"/>
      <c r="S17" s="4"/>
      <c r="T17" s="5"/>
    </row>
    <row r="18" spans="1:21" ht="30.95" thickBot="1">
      <c r="A18" s="67"/>
      <c r="M18" s="11" t="str">
        <f>M6</f>
        <v>LTM
EBITDA</v>
      </c>
      <c r="N18" s="12" t="str">
        <f>N6</f>
        <v>2025
EBITDA</v>
      </c>
      <c r="O18" s="12" t="str">
        <f>O6</f>
        <v>2026
EBITDA</v>
      </c>
      <c r="P18" s="12"/>
      <c r="Q18" s="13" t="str">
        <f>Q6</f>
        <v>LTM
Revenue</v>
      </c>
      <c r="R18" s="13" t="str">
        <f>R6</f>
        <v>2025
Revenue</v>
      </c>
      <c r="S18" s="11" t="str">
        <f>S6</f>
        <v>2026
Revenue</v>
      </c>
      <c r="T18" s="15"/>
      <c r="U18" s="61" t="s">
        <v>37</v>
      </c>
    </row>
    <row r="19" spans="1:21" ht="3.6" customHeight="1">
      <c r="A19" s="67"/>
      <c r="M19" s="15"/>
      <c r="N19" s="19"/>
      <c r="O19" s="19"/>
      <c r="P19" s="19"/>
      <c r="Q19" s="19"/>
      <c r="R19" s="15"/>
      <c r="S19" s="19"/>
      <c r="T19" s="21"/>
      <c r="U19" s="30"/>
    </row>
    <row r="20" spans="1:21">
      <c r="A20" s="67"/>
      <c r="B20" s="173" t="str">
        <f t="shared" ref="B20:C25" si="2">B8</f>
        <v>Live Nation Entertainment, Inc.</v>
      </c>
      <c r="C20" s="36" t="str">
        <f t="shared" si="2"/>
        <v>LYV</v>
      </c>
      <c r="M20" s="158">
        <f>IFERROR(IF($U20="YES",$K8/M8,""),"n/a")</f>
        <v>18.188862318368411</v>
      </c>
      <c r="N20" s="158">
        <f t="shared" ref="M20:O25" si="3">IFERROR(IF($U20="YES",$K8/N8,""),"n/a")</f>
        <v>11.919216300806587</v>
      </c>
      <c r="O20" s="158">
        <f t="shared" si="3"/>
        <v>10.770210508445802</v>
      </c>
      <c r="P20" s="158"/>
      <c r="Q20" s="159">
        <f t="shared" ref="Q20:S25" si="4">IFERROR(IF($U20="YES",$K8/Q8,""),"n/a")</f>
        <v>1.1972484827689733</v>
      </c>
      <c r="R20" s="159">
        <f t="shared" si="4"/>
        <v>1.0433216746102463</v>
      </c>
      <c r="S20" s="159">
        <f t="shared" si="4"/>
        <v>0.95701775497665953</v>
      </c>
      <c r="T20" s="26"/>
      <c r="U20" s="67" t="s">
        <v>38</v>
      </c>
    </row>
    <row r="21" spans="1:21">
      <c r="B21" s="173" t="str">
        <f t="shared" si="2"/>
        <v>TKO Group Holdings Inc</v>
      </c>
      <c r="C21" s="36" t="str">
        <f t="shared" si="2"/>
        <v>TKO</v>
      </c>
      <c r="M21" s="158">
        <f t="shared" si="3"/>
        <v>19.16147780997407</v>
      </c>
      <c r="N21" s="158">
        <f t="shared" si="3"/>
        <v>8.7619380034171339</v>
      </c>
      <c r="O21" s="158">
        <f t="shared" si="3"/>
        <v>7.3147929717519373</v>
      </c>
      <c r="P21" s="158"/>
      <c r="Q21" s="159">
        <f t="shared" si="4"/>
        <v>4.5258387666150348</v>
      </c>
      <c r="R21" s="159">
        <f t="shared" si="4"/>
        <v>4.0392671941257214</v>
      </c>
      <c r="S21" s="159">
        <f t="shared" si="4"/>
        <v>3.6113204239015144</v>
      </c>
      <c r="T21" s="26"/>
      <c r="U21" s="67" t="s">
        <v>38</v>
      </c>
    </row>
    <row r="22" spans="1:21">
      <c r="B22" s="173" t="str">
        <f t="shared" si="2"/>
        <v xml:space="preserve">AMC Entertainment Holdings, Inc. </v>
      </c>
      <c r="C22" s="36" t="str">
        <f t="shared" si="2"/>
        <v>AMC</v>
      </c>
      <c r="M22" s="158">
        <f t="shared" si="3"/>
        <v>48.639107413010585</v>
      </c>
      <c r="N22" s="158">
        <f t="shared" si="3"/>
        <v>18.347920788312283</v>
      </c>
      <c r="O22" s="158">
        <f t="shared" si="3"/>
        <v>15.002776524755403</v>
      </c>
      <c r="P22" s="158"/>
      <c r="Q22" s="159">
        <f t="shared" si="4"/>
        <v>2.1746787067099569</v>
      </c>
      <c r="R22" s="159">
        <f t="shared" si="4"/>
        <v>1.8807481938635233</v>
      </c>
      <c r="S22" s="159">
        <f t="shared" si="4"/>
        <v>1.7793547922915998</v>
      </c>
      <c r="T22" s="26"/>
      <c r="U22" s="67" t="s">
        <v>38</v>
      </c>
    </row>
    <row r="23" spans="1:21">
      <c r="B23" s="173" t="str">
        <f t="shared" si="2"/>
        <v>Madison Square Garden Entertainment Corp.</v>
      </c>
      <c r="C23" s="36" t="str">
        <f t="shared" si="2"/>
        <v>MSGE</v>
      </c>
      <c r="M23" s="158">
        <f t="shared" si="3"/>
        <v>17.270179738562092</v>
      </c>
      <c r="N23" s="158">
        <f t="shared" si="3"/>
        <v>14.841118652000935</v>
      </c>
      <c r="O23" s="158">
        <f t="shared" si="3"/>
        <v>14.101867911941294</v>
      </c>
      <c r="P23" s="158"/>
      <c r="Q23" s="159">
        <f t="shared" si="4"/>
        <v>3.317435655994978</v>
      </c>
      <c r="R23" s="159">
        <f t="shared" si="4"/>
        <v>3.1492327556239754</v>
      </c>
      <c r="S23" s="159">
        <f t="shared" si="4"/>
        <v>3.0022866503176688</v>
      </c>
      <c r="T23" s="26"/>
      <c r="U23" s="67" t="s">
        <v>38</v>
      </c>
    </row>
    <row r="24" spans="1:21">
      <c r="B24" s="173" t="str">
        <f t="shared" si="2"/>
        <v>Manchester United Ltd. Class A</v>
      </c>
      <c r="C24" s="36" t="str">
        <f t="shared" si="2"/>
        <v>MANU</v>
      </c>
      <c r="M24" s="158">
        <f t="shared" si="3"/>
        <v>17.755676532769559</v>
      </c>
      <c r="N24" s="158">
        <f t="shared" si="3"/>
        <v>16.838123402335725</v>
      </c>
      <c r="O24" s="158">
        <f t="shared" si="3"/>
        <v>14.205742557510153</v>
      </c>
      <c r="P24" s="158"/>
      <c r="Q24" s="159">
        <f t="shared" si="4"/>
        <v>3.982188240872452</v>
      </c>
      <c r="R24" s="159">
        <f t="shared" si="4"/>
        <v>3.9547171144020914</v>
      </c>
      <c r="S24" s="159">
        <f t="shared" si="4"/>
        <v>3.6312845901072301</v>
      </c>
      <c r="T24" s="26"/>
      <c r="U24" s="67" t="s">
        <v>38</v>
      </c>
    </row>
    <row r="25" spans="1:21">
      <c r="B25" s="176" t="str">
        <f t="shared" si="2"/>
        <v>Formula One Group</v>
      </c>
      <c r="C25" s="177" t="str">
        <f t="shared" si="2"/>
        <v>FWONA</v>
      </c>
      <c r="D25" s="182"/>
      <c r="E25" s="182"/>
      <c r="F25" s="182"/>
      <c r="G25" s="182"/>
      <c r="H25" s="182"/>
      <c r="I25" s="182"/>
      <c r="J25" s="182"/>
      <c r="K25" s="182"/>
      <c r="L25" s="182"/>
      <c r="M25" s="183">
        <f t="shared" si="3"/>
        <v>21.690753476611881</v>
      </c>
      <c r="N25" s="183">
        <f t="shared" si="3"/>
        <v>16.646181758205508</v>
      </c>
      <c r="O25" s="183">
        <f t="shared" si="3"/>
        <v>14.464647265124434</v>
      </c>
      <c r="P25" s="183"/>
      <c r="Q25" s="184">
        <f t="shared" si="4"/>
        <v>4.6258792127258017</v>
      </c>
      <c r="R25" s="184">
        <f t="shared" si="4"/>
        <v>4.0385428901636136</v>
      </c>
      <c r="S25" s="184">
        <f t="shared" si="4"/>
        <v>3.7365354251827716</v>
      </c>
      <c r="T25" s="185"/>
      <c r="U25" s="186" t="s">
        <v>38</v>
      </c>
    </row>
    <row r="27" spans="1:21">
      <c r="B27" s="173" t="str">
        <f>B15</f>
        <v>Madison Square Garden Sports Corp.</v>
      </c>
      <c r="C27" s="36" t="str">
        <f>C15</f>
        <v>MSGS</v>
      </c>
      <c r="M27" s="158">
        <f>IFERROR(IF($U27="YES",$K15/M15,""),"n/a")</f>
        <v>38.863191763191757</v>
      </c>
      <c r="N27" s="158">
        <f>IFERROR(IF($U27="YES",$K15/N15,""),"n/a")</f>
        <v>71.811414982164081</v>
      </c>
      <c r="O27" s="158">
        <f>IFERROR(IF($U27="YES",$K15/O15,""),"n/a")</f>
        <v>65.694985314913509</v>
      </c>
      <c r="P27" s="158"/>
      <c r="Q27" s="159">
        <f>IFERROR(IF($U27="YES",$K15/Q15,""),"n/a")</f>
        <v>5.8216117216117205</v>
      </c>
      <c r="R27" s="159">
        <f>IFERROR(IF($U27="YES",$K15/R15,""),"n/a")</f>
        <v>5.76955558103099</v>
      </c>
      <c r="S27" s="159">
        <f>IFERROR(IF($U27="YES",$K15/S15,""),"n/a")</f>
        <v>5.4312076764660908</v>
      </c>
      <c r="T27" s="26"/>
      <c r="U27" s="67" t="s">
        <v>38</v>
      </c>
    </row>
    <row r="28" spans="1:21">
      <c r="M28" s="33"/>
      <c r="N28" s="34"/>
      <c r="O28" s="34"/>
      <c r="P28" s="34"/>
      <c r="Q28" s="34"/>
      <c r="R28" s="35"/>
      <c r="S28" s="35"/>
      <c r="T28" s="26"/>
    </row>
    <row r="29" spans="1:21">
      <c r="B29" s="143" t="s">
        <v>39</v>
      </c>
      <c r="C29" s="43"/>
      <c r="D29" s="44"/>
      <c r="E29" s="44"/>
      <c r="F29" s="45"/>
      <c r="G29" s="45"/>
      <c r="H29" s="45"/>
      <c r="I29" s="46"/>
      <c r="J29" s="46"/>
      <c r="K29" s="46"/>
      <c r="L29" s="47"/>
      <c r="M29" s="160">
        <f>IFERROR(MIN(M$20:M$27),"NA")</f>
        <v>17.270179738562092</v>
      </c>
      <c r="N29" s="160">
        <f>IFERROR(MIN(N$20:N$27),"NA")</f>
        <v>8.7619380034171339</v>
      </c>
      <c r="O29" s="160">
        <f>IFERROR(MIN(O$20:O$27),"NA")</f>
        <v>7.3147929717519373</v>
      </c>
      <c r="P29" s="160"/>
      <c r="Q29" s="160">
        <f>IFERROR(MIN(Q$20:Q$27),"NA")</f>
        <v>1.1972484827689733</v>
      </c>
      <c r="R29" s="160">
        <f>IFERROR(MIN(R$20:R$27),"NA")</f>
        <v>1.0433216746102463</v>
      </c>
      <c r="S29" s="160">
        <f>IFERROR(MIN(S$20:S$27),"NA")</f>
        <v>0.95701775497665953</v>
      </c>
      <c r="T29" s="144"/>
    </row>
    <row r="30" spans="1:21">
      <c r="B30" s="141" t="s">
        <v>40</v>
      </c>
      <c r="C30" s="38"/>
      <c r="D30" s="39"/>
      <c r="E30" s="39"/>
      <c r="F30" s="40"/>
      <c r="G30" s="40"/>
      <c r="H30" s="40"/>
      <c r="I30" s="37"/>
      <c r="J30" s="37"/>
      <c r="K30" s="37"/>
      <c r="L30" s="41"/>
      <c r="M30" s="161">
        <f>IFERROR(QUARTILE(M$20:M$27,1),"NA")</f>
        <v>17.972269425568985</v>
      </c>
      <c r="N30" s="161">
        <f>IFERROR(QUARTILE(N$20:N$27,1),"NA")</f>
        <v>13.380167476403761</v>
      </c>
      <c r="O30" s="161">
        <f>IFERROR(QUARTILE(O$20:O$27,1),"NA")</f>
        <v>12.436039210193549</v>
      </c>
      <c r="P30" s="161"/>
      <c r="Q30" s="161">
        <f>IFERROR(QUARTILE(Q$20:Q$27,1),"NA")</f>
        <v>2.7460571813524677</v>
      </c>
      <c r="R30" s="161">
        <f>IFERROR(QUARTILE(R$20:R$27,1),"NA")</f>
        <v>2.5149904747437493</v>
      </c>
      <c r="S30" s="161">
        <f>IFERROR(QUARTILE(S$20:S$27,1),"NA")</f>
        <v>2.3908207213046344</v>
      </c>
      <c r="T30" s="142"/>
    </row>
    <row r="31" spans="1:21">
      <c r="B31" s="141" t="s">
        <v>41</v>
      </c>
      <c r="C31" s="38"/>
      <c r="D31" s="39"/>
      <c r="E31" s="39"/>
      <c r="F31" s="40"/>
      <c r="G31" s="40"/>
      <c r="H31" s="40"/>
      <c r="I31" s="37"/>
      <c r="J31" s="37"/>
      <c r="K31" s="37"/>
      <c r="L31" s="41"/>
      <c r="M31" s="161">
        <f>IFERROR(AVERAGE(M$20:M$27),"NA")</f>
        <v>25.938464150355479</v>
      </c>
      <c r="N31" s="161">
        <f>IFERROR(AVERAGE(N$20:N$27),"NA")</f>
        <v>22.737987698177466</v>
      </c>
      <c r="O31" s="161">
        <f>IFERROR(AVERAGE(O$20:O$27),"NA")</f>
        <v>20.222146150634646</v>
      </c>
      <c r="P31" s="161"/>
      <c r="Q31" s="161">
        <f>IFERROR(AVERAGE(Q$20:Q$27),"NA")</f>
        <v>3.6635543981855596</v>
      </c>
      <c r="R31" s="161">
        <f>IFERROR(AVERAGE(R$20:R$27),"NA")</f>
        <v>3.4107693434028801</v>
      </c>
      <c r="S31" s="161">
        <f>IFERROR(AVERAGE(S$20:S$27),"NA")</f>
        <v>3.1641439018919333</v>
      </c>
      <c r="T31" s="142"/>
    </row>
    <row r="32" spans="1:21">
      <c r="B32" s="141" t="s">
        <v>42</v>
      </c>
      <c r="C32" s="38"/>
      <c r="D32" s="39"/>
      <c r="E32" s="39"/>
      <c r="F32" s="40"/>
      <c r="G32" s="40"/>
      <c r="H32" s="40"/>
      <c r="I32" s="37"/>
      <c r="J32" s="37"/>
      <c r="K32" s="37"/>
      <c r="L32" s="41"/>
      <c r="M32" s="161">
        <f>IFERROR(MEDIAN(M$20:M$27),"NA")</f>
        <v>19.16147780997407</v>
      </c>
      <c r="N32" s="161">
        <f>IFERROR(MEDIAN(N$20:N$27),"NA")</f>
        <v>16.646181758205508</v>
      </c>
      <c r="O32" s="161">
        <f>IFERROR(MEDIAN(O$20:O$27),"NA")</f>
        <v>14.205742557510153</v>
      </c>
      <c r="P32" s="161"/>
      <c r="Q32" s="161">
        <f>IFERROR(MEDIAN(Q$20:Q$27),"NA")</f>
        <v>3.982188240872452</v>
      </c>
      <c r="R32" s="161">
        <f>IFERROR(MEDIAN(R$20:R$27),"NA")</f>
        <v>3.9547171144020914</v>
      </c>
      <c r="S32" s="161">
        <f>IFERROR(MEDIAN(S$20:S$27),"NA")</f>
        <v>3.6113204239015144</v>
      </c>
      <c r="T32" s="142"/>
    </row>
    <row r="33" spans="2:20">
      <c r="B33" s="141" t="s">
        <v>43</v>
      </c>
      <c r="C33" s="38"/>
      <c r="D33" s="39"/>
      <c r="E33" s="39"/>
      <c r="F33" s="40"/>
      <c r="G33" s="40"/>
      <c r="H33" s="40"/>
      <c r="I33" s="37"/>
      <c r="J33" s="37"/>
      <c r="K33" s="37"/>
      <c r="L33" s="41"/>
      <c r="M33" s="161">
        <f>IFERROR(QUARTILE(M$20:M$27,3),"NA")</f>
        <v>30.276972619901819</v>
      </c>
      <c r="N33" s="161">
        <f>IFERROR(QUARTILE(N$20:N$27,3),"NA")</f>
        <v>17.593022095324002</v>
      </c>
      <c r="O33" s="161">
        <f>IFERROR(QUARTILE(O$20:O$27,3),"NA")</f>
        <v>14.733711894939919</v>
      </c>
      <c r="P33" s="161"/>
      <c r="Q33" s="161">
        <f>IFERROR(QUARTILE(Q$20:Q$27,3),"NA")</f>
        <v>4.5758589896704187</v>
      </c>
      <c r="R33" s="161">
        <f>IFERROR(QUARTILE(R$20:R$27,3),"NA")</f>
        <v>4.0389050421446679</v>
      </c>
      <c r="S33" s="161">
        <f>IFERROR(QUARTILE(S$20:S$27,3),"NA")</f>
        <v>3.6839100076450011</v>
      </c>
      <c r="T33" s="142"/>
    </row>
    <row r="34" spans="2:20">
      <c r="B34" s="145" t="s">
        <v>44</v>
      </c>
      <c r="C34" s="49"/>
      <c r="D34" s="50"/>
      <c r="E34" s="50"/>
      <c r="F34" s="51"/>
      <c r="G34" s="51"/>
      <c r="H34" s="51"/>
      <c r="I34" s="52"/>
      <c r="J34" s="52"/>
      <c r="K34" s="52"/>
      <c r="L34" s="53"/>
      <c r="M34" s="162">
        <f>IFERROR(MAX(M$20:M$27),"NA")</f>
        <v>48.639107413010585</v>
      </c>
      <c r="N34" s="162">
        <f>IFERROR(MAX(N$20:N$27),"NA")</f>
        <v>71.811414982164081</v>
      </c>
      <c r="O34" s="162">
        <f>IFERROR(MAX(O$20:O$27),"NA")</f>
        <v>65.694985314913509</v>
      </c>
      <c r="P34" s="162"/>
      <c r="Q34" s="162">
        <f>IFERROR(MAX(Q$20:Q$27),"NA")</f>
        <v>5.8216117216117205</v>
      </c>
      <c r="R34" s="162">
        <f>IFERROR(MAX(R$20:R$27),"NA")</f>
        <v>5.76955558103099</v>
      </c>
      <c r="S34" s="162">
        <f>IFERROR(MAX(S$20:S$27),"NA")</f>
        <v>5.4312076764660908</v>
      </c>
      <c r="T34" s="146"/>
    </row>
    <row r="35" spans="2:20" ht="15.95" thickBot="1">
      <c r="M35" s="163"/>
      <c r="N35" s="163"/>
      <c r="O35" s="163"/>
      <c r="P35" s="163"/>
      <c r="Q35" s="163"/>
      <c r="R35" s="163"/>
      <c r="S35" s="163"/>
    </row>
    <row r="36" spans="2:20" ht="15.95" thickBot="1">
      <c r="K36" s="164" t="s">
        <v>45</v>
      </c>
      <c r="L36" s="113"/>
      <c r="M36" s="167">
        <f>M31</f>
        <v>25.938464150355479</v>
      </c>
      <c r="N36" s="167">
        <f t="shared" ref="N36:S36" si="5">N31</f>
        <v>22.737987698177466</v>
      </c>
      <c r="O36" s="167">
        <f t="shared" si="5"/>
        <v>20.222146150634646</v>
      </c>
      <c r="P36" s="167"/>
      <c r="Q36" s="167">
        <f t="shared" si="5"/>
        <v>3.6635543981855596</v>
      </c>
      <c r="R36" s="167">
        <f t="shared" si="5"/>
        <v>3.4107693434028801</v>
      </c>
      <c r="S36" s="167">
        <f t="shared" si="5"/>
        <v>3.1641439018919333</v>
      </c>
    </row>
    <row r="38" spans="2:20">
      <c r="B38" s="100" t="s">
        <v>46</v>
      </c>
    </row>
    <row r="39" spans="2:20">
      <c r="B39" s="154" t="s">
        <v>47</v>
      </c>
    </row>
  </sheetData>
  <phoneticPr fontId="8" type="noConversion"/>
  <conditionalFormatting sqref="B8:S13 Q14">
    <cfRule type="expression" dxfId="4" priority="3">
      <formula>MOD(ROW(),2)=0</formula>
    </cfRule>
  </conditionalFormatting>
  <conditionalFormatting sqref="B15:S15">
    <cfRule type="expression" dxfId="3" priority="1">
      <formula>MOD(ROW(),2)=0</formula>
    </cfRule>
  </conditionalFormatting>
  <conditionalFormatting sqref="B20:S25 B27:S27">
    <cfRule type="expression" dxfId="2" priority="7">
      <formula>MOD(ROW(),2)=0</formula>
    </cfRule>
  </conditionalFormatting>
  <printOptions horizontalCentered="1"/>
  <pageMargins left="0.5" right="0.5" top="0.5" bottom="0.5" header="0.3" footer="0.3"/>
  <pageSetup scale="5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AEDA-7D2E-471E-9DA2-87A36813BD0E}">
  <sheetPr>
    <pageSetUpPr fitToPage="1"/>
  </sheetPr>
  <dimension ref="A2:X43"/>
  <sheetViews>
    <sheetView showGridLines="0" view="pageBreakPreview" topLeftCell="A3" zoomScale="116" zoomScaleNormal="100" zoomScaleSheetLayoutView="100" workbookViewId="0">
      <selection activeCell="B21" sqref="B21"/>
    </sheetView>
  </sheetViews>
  <sheetFormatPr defaultColWidth="8" defaultRowHeight="15"/>
  <cols>
    <col min="1" max="1" width="4" customWidth="1"/>
    <col min="2" max="2" width="41.28515625" style="20" customWidth="1"/>
    <col min="3" max="3" width="8.140625" style="20" bestFit="1" customWidth="1"/>
    <col min="4" max="4" width="1.42578125" style="20" customWidth="1"/>
    <col min="5" max="5" width="16.28515625" style="20" bestFit="1" customWidth="1"/>
    <col min="6" max="6" width="9.28515625" style="20" customWidth="1"/>
    <col min="7" max="7" width="13.42578125" style="20" bestFit="1" customWidth="1"/>
    <col min="8" max="9" width="9.28515625" style="20" customWidth="1"/>
    <col min="10" max="10" width="1.42578125" style="20" customWidth="1"/>
    <col min="11" max="11" width="14.42578125" style="20" bestFit="1" customWidth="1"/>
    <col min="12" max="12" width="9.28515625" style="20" customWidth="1"/>
    <col min="13" max="13" width="12.42578125" style="20" bestFit="1" customWidth="1"/>
    <col min="14" max="15" width="9.28515625" style="20" customWidth="1"/>
    <col min="16" max="16" width="1.42578125" style="20" customWidth="1"/>
    <col min="17" max="21" width="9.28515625" style="20" customWidth="1"/>
    <col min="22" max="22" width="1.42578125" style="20" customWidth="1"/>
    <col min="23" max="23" width="1.28515625" style="20" hidden="1" customWidth="1"/>
    <col min="24" max="24" width="1.42578125" style="138" customWidth="1"/>
    <col min="25" max="16384" width="8" style="20"/>
  </cols>
  <sheetData>
    <row r="2" spans="1:24" s="75" customFormat="1" ht="12.6" customHeight="1">
      <c r="A2"/>
      <c r="B2" s="70" t="s">
        <v>1</v>
      </c>
      <c r="C2" s="70"/>
      <c r="D2" s="71"/>
      <c r="E2" s="71"/>
      <c r="F2" s="71"/>
      <c r="G2" s="71"/>
      <c r="H2" s="71"/>
      <c r="I2" s="71"/>
      <c r="J2" s="71"/>
      <c r="K2" s="71"/>
      <c r="L2" s="71"/>
      <c r="M2" s="71"/>
      <c r="N2" s="71"/>
      <c r="O2" s="71"/>
      <c r="P2" s="71"/>
      <c r="Q2" s="71"/>
      <c r="R2" s="71"/>
      <c r="S2" s="71"/>
      <c r="T2" s="71"/>
      <c r="U2" s="71"/>
      <c r="V2" s="71"/>
      <c r="W2" s="71"/>
      <c r="X2" s="71" t="str">
        <f>"As of "&amp;TEXT(WACC!$F$7,"mmmm dd, yyyy")</f>
        <v>As of September 30, 2024</v>
      </c>
    </row>
    <row r="3" spans="1:24" ht="12.6" customHeight="1">
      <c r="B3" s="55"/>
      <c r="C3" s="55"/>
      <c r="D3" s="14"/>
      <c r="E3" s="1"/>
      <c r="F3" s="1"/>
      <c r="G3" s="1"/>
      <c r="H3" s="1"/>
      <c r="I3" s="1"/>
      <c r="J3" s="1"/>
      <c r="K3" s="1"/>
      <c r="L3" s="1"/>
      <c r="M3" s="1"/>
      <c r="N3" s="1"/>
      <c r="O3" s="1"/>
      <c r="P3" s="1"/>
      <c r="Q3" s="1"/>
      <c r="R3" s="1"/>
      <c r="S3" s="1"/>
      <c r="T3" s="1"/>
      <c r="U3" s="1"/>
      <c r="V3" s="1"/>
    </row>
    <row r="4" spans="1:24" ht="12.6" customHeight="1">
      <c r="B4" s="73"/>
      <c r="C4" s="73"/>
      <c r="D4" s="73"/>
      <c r="E4" s="73"/>
      <c r="F4" s="73"/>
      <c r="G4" s="73"/>
      <c r="H4" s="1"/>
      <c r="I4" s="1"/>
      <c r="J4" s="1"/>
      <c r="K4" s="1"/>
      <c r="L4" s="1"/>
      <c r="M4" s="1"/>
      <c r="N4" s="1"/>
      <c r="O4" s="1"/>
      <c r="P4" s="1"/>
      <c r="Q4" s="1"/>
      <c r="R4" s="1"/>
      <c r="S4" s="1"/>
      <c r="T4" s="1"/>
      <c r="U4" s="1"/>
      <c r="V4" s="1"/>
      <c r="W4" s="56"/>
    </row>
    <row r="5" spans="1:24" s="5" customFormat="1" ht="12.6" customHeight="1">
      <c r="A5"/>
      <c r="B5" s="2" t="s">
        <v>3</v>
      </c>
      <c r="C5" s="2"/>
      <c r="D5" s="2"/>
      <c r="E5" s="57" t="s">
        <v>48</v>
      </c>
      <c r="F5" s="57"/>
      <c r="G5" s="57"/>
      <c r="H5" s="57"/>
      <c r="I5" s="57"/>
      <c r="J5" s="2"/>
      <c r="K5" s="57" t="s">
        <v>49</v>
      </c>
      <c r="L5" s="57"/>
      <c r="M5" s="57"/>
      <c r="N5" s="57"/>
      <c r="O5" s="57"/>
      <c r="P5" s="57"/>
      <c r="Q5" s="4" t="s">
        <v>50</v>
      </c>
      <c r="R5" s="4"/>
      <c r="S5" s="4"/>
      <c r="T5" s="58"/>
      <c r="U5" s="58"/>
      <c r="V5" s="4"/>
      <c r="X5" s="138"/>
    </row>
    <row r="6" spans="1:24" ht="33" customHeight="1" thickBot="1">
      <c r="B6" s="59" t="s">
        <v>6</v>
      </c>
      <c r="C6" s="6" t="s">
        <v>7</v>
      </c>
      <c r="D6" s="14"/>
      <c r="E6" s="59">
        <v>2023</v>
      </c>
      <c r="F6" s="59">
        <v>2024</v>
      </c>
      <c r="G6" s="59" t="s">
        <v>51</v>
      </c>
      <c r="H6" s="59">
        <v>2025</v>
      </c>
      <c r="I6" s="59">
        <v>2026</v>
      </c>
      <c r="J6" s="14"/>
      <c r="K6" s="59">
        <f>E6</f>
        <v>2023</v>
      </c>
      <c r="L6" s="59">
        <f t="shared" ref="L6:O6" si="0">F6</f>
        <v>2024</v>
      </c>
      <c r="M6" s="59" t="str">
        <f t="shared" si="0"/>
        <v>LTM</v>
      </c>
      <c r="N6" s="59">
        <f t="shared" si="0"/>
        <v>2025</v>
      </c>
      <c r="O6" s="59">
        <f t="shared" si="0"/>
        <v>2026</v>
      </c>
      <c r="P6" s="60"/>
      <c r="Q6" s="59">
        <f>K6</f>
        <v>2023</v>
      </c>
      <c r="R6" s="59">
        <f t="shared" ref="R6:U6" si="1">L6</f>
        <v>2024</v>
      </c>
      <c r="S6" s="59" t="str">
        <f t="shared" si="1"/>
        <v>LTM</v>
      </c>
      <c r="T6" s="59">
        <f t="shared" si="1"/>
        <v>2025</v>
      </c>
      <c r="U6" s="59">
        <f t="shared" si="1"/>
        <v>2026</v>
      </c>
      <c r="V6" s="60"/>
    </row>
    <row r="7" spans="1:24" ht="12.6" customHeight="1">
      <c r="A7" s="30"/>
      <c r="B7" s="61"/>
      <c r="C7" s="61"/>
      <c r="D7" s="7"/>
      <c r="E7" s="62"/>
      <c r="F7" s="62"/>
      <c r="G7" s="62"/>
      <c r="H7" s="63"/>
      <c r="I7" s="64"/>
      <c r="J7" s="7"/>
      <c r="K7" s="62"/>
      <c r="L7" s="62"/>
      <c r="M7" s="62"/>
      <c r="N7" s="63"/>
      <c r="O7" s="64"/>
      <c r="P7" s="62"/>
      <c r="Q7" s="65"/>
      <c r="R7" s="65"/>
      <c r="S7" s="65"/>
      <c r="T7" s="65"/>
      <c r="U7" s="66"/>
      <c r="V7" s="60"/>
    </row>
    <row r="8" spans="1:24" ht="12.6" customHeight="1">
      <c r="A8" s="67"/>
      <c r="B8" s="174" t="s">
        <v>21</v>
      </c>
      <c r="C8" s="36" t="s">
        <v>22</v>
      </c>
      <c r="D8" s="22"/>
      <c r="E8" s="153">
        <v>0.36380000000000001</v>
      </c>
      <c r="F8" s="169">
        <v>2.3478741347455978E-2</v>
      </c>
      <c r="G8" s="153">
        <v>4.7E-2</v>
      </c>
      <c r="H8" s="169">
        <v>0.14096037445008669</v>
      </c>
      <c r="I8" s="169">
        <v>9.0117077893576703E-2</v>
      </c>
      <c r="J8" s="170"/>
      <c r="K8" s="153">
        <v>0.42759999999999998</v>
      </c>
      <c r="L8" s="153">
        <v>0.16865335051546393</v>
      </c>
      <c r="M8" s="153">
        <v>1.4999999999999999E-2</v>
      </c>
      <c r="N8" s="153">
        <v>7.2065242361589732E-2</v>
      </c>
      <c r="O8" s="153">
        <v>0.11838772580195855</v>
      </c>
      <c r="P8" s="153"/>
      <c r="Q8" s="153">
        <v>7.6999999999999999E-2</v>
      </c>
      <c r="R8" s="153">
        <v>9.0112641233183244E-2</v>
      </c>
      <c r="S8" s="153">
        <v>7.4999999999999997E-2</v>
      </c>
      <c r="T8" s="153">
        <v>9.0112641233183244E-2</v>
      </c>
      <c r="U8" s="153">
        <v>9.0112641233183244E-2</v>
      </c>
      <c r="V8" s="76"/>
    </row>
    <row r="9" spans="1:24" ht="14.1">
      <c r="A9" s="67"/>
      <c r="B9" s="22" t="s">
        <v>24</v>
      </c>
      <c r="C9" s="36" t="s">
        <v>25</v>
      </c>
      <c r="D9" s="22"/>
      <c r="E9" s="153">
        <v>0.46899999999999997</v>
      </c>
      <c r="F9" s="153">
        <v>0.65071641791044765</v>
      </c>
      <c r="G9" s="153">
        <v>0.65739999999999998</v>
      </c>
      <c r="H9" s="153">
        <v>0.12384672417222742</v>
      </c>
      <c r="I9" s="153">
        <v>0.11962811114186223</v>
      </c>
      <c r="J9" s="153"/>
      <c r="K9" s="153">
        <v>1.2999999999999999E-2</v>
      </c>
      <c r="L9" s="153">
        <v>0.54098380917068334</v>
      </c>
      <c r="M9" s="153">
        <v>0.09</v>
      </c>
      <c r="N9" s="153">
        <v>0.14960579398625296</v>
      </c>
      <c r="O9" s="153">
        <v>0.19833396123738956</v>
      </c>
      <c r="P9" s="153"/>
      <c r="Q9" s="153">
        <v>0.36480000000000001</v>
      </c>
      <c r="R9" s="153">
        <v>0.45093401327329607</v>
      </c>
      <c r="S9" s="153">
        <v>0.2399</v>
      </c>
      <c r="T9" s="153">
        <v>0.46126962264029497</v>
      </c>
      <c r="U9" s="153">
        <v>0.49369522665279336</v>
      </c>
      <c r="V9" s="27"/>
    </row>
    <row r="10" spans="1:24" ht="14.1">
      <c r="A10" s="67"/>
      <c r="B10" s="22" t="s">
        <v>52</v>
      </c>
      <c r="C10" s="36" t="s">
        <v>53</v>
      </c>
      <c r="D10" s="22"/>
      <c r="E10" s="153">
        <v>0.24610000000000001</v>
      </c>
      <c r="F10" s="153">
        <v>1.0991356312026523E-2</v>
      </c>
      <c r="G10" s="153">
        <v>-7.8100000000000003E-2</v>
      </c>
      <c r="H10" s="153">
        <v>9.7292590246991884E-2</v>
      </c>
      <c r="I10" s="153">
        <v>4.7302984392660452E-2</v>
      </c>
      <c r="J10" s="153"/>
      <c r="K10" s="153">
        <v>0.59289999999999998</v>
      </c>
      <c r="L10" s="153">
        <v>6.6869538077403146E-2</v>
      </c>
      <c r="M10" s="153">
        <v>-0.1012</v>
      </c>
      <c r="N10" s="153">
        <v>0.12594163680245729</v>
      </c>
      <c r="O10" s="153">
        <v>6.476128613186094E-2</v>
      </c>
      <c r="P10" s="153"/>
      <c r="Q10" s="153">
        <v>0.3014</v>
      </c>
      <c r="R10" s="153">
        <v>0.36080325100274435</v>
      </c>
      <c r="S10" s="153">
        <v>0.2863</v>
      </c>
      <c r="T10" s="153">
        <v>0.37022340860447778</v>
      </c>
      <c r="U10" s="153">
        <v>0.37639494833524684</v>
      </c>
      <c r="V10" s="27"/>
    </row>
    <row r="11" spans="1:24" ht="14.1">
      <c r="A11" s="67"/>
      <c r="B11" s="22" t="s">
        <v>54</v>
      </c>
      <c r="C11" s="36" t="s">
        <v>55</v>
      </c>
      <c r="D11" s="22"/>
      <c r="E11" s="153">
        <v>0.24929999999999999</v>
      </c>
      <c r="F11" s="153">
        <v>-1.439658264584065E-2</v>
      </c>
      <c r="G11" s="153">
        <v>-6.3E-2</v>
      </c>
      <c r="H11" s="153">
        <v>0.10905030520586911</v>
      </c>
      <c r="I11" s="153">
        <v>5.8380268244952571E-2</v>
      </c>
      <c r="J11" s="153"/>
      <c r="K11" s="153">
        <v>2.98</v>
      </c>
      <c r="L11" s="153">
        <v>-5.4704595185995908E-3</v>
      </c>
      <c r="M11" s="153">
        <v>-0.10630000000000001</v>
      </c>
      <c r="N11" s="153">
        <v>0.20981636625200983</v>
      </c>
      <c r="O11" s="153">
        <v>7.9740354215047216E-2</v>
      </c>
      <c r="P11" s="153"/>
      <c r="Q11" s="153">
        <v>0.19689999999999999</v>
      </c>
      <c r="R11" s="153">
        <v>0.19548063721030257</v>
      </c>
      <c r="S11" s="153">
        <v>0.18779999999999999</v>
      </c>
      <c r="T11" s="153">
        <v>0.21324161137893183</v>
      </c>
      <c r="U11" s="153">
        <v>0.2175452244451585</v>
      </c>
      <c r="V11" s="27"/>
    </row>
    <row r="12" spans="1:24" ht="14.1">
      <c r="A12" s="67"/>
      <c r="B12" s="174" t="s">
        <v>26</v>
      </c>
      <c r="C12" s="36" t="s">
        <v>27</v>
      </c>
      <c r="D12" s="22"/>
      <c r="E12" s="153">
        <v>0.23039999999999999</v>
      </c>
      <c r="F12" s="153">
        <v>-3.8897893030794273E-2</v>
      </c>
      <c r="G12" s="153">
        <v>-7.8399999999999997E-2</v>
      </c>
      <c r="H12" s="153">
        <v>0.10873654170450142</v>
      </c>
      <c r="I12" s="153">
        <v>5.6983240223463572E-2</v>
      </c>
      <c r="J12" s="153"/>
      <c r="K12" s="153">
        <v>2.95</v>
      </c>
      <c r="L12" s="153">
        <v>-0.33238609675904185</v>
      </c>
      <c r="M12" s="153">
        <v>-8.1199999999999994E-2</v>
      </c>
      <c r="N12" s="153">
        <v>0.84922784676539909</v>
      </c>
      <c r="O12" s="153">
        <v>0.22296834576168023</v>
      </c>
      <c r="P12" s="153"/>
      <c r="Q12" s="153">
        <v>7.9600000000000004E-2</v>
      </c>
      <c r="R12" s="153">
        <v>6.1458468456782114E-2</v>
      </c>
      <c r="S12" s="153">
        <v>7.9299999999999995E-2</v>
      </c>
      <c r="T12" s="153">
        <v>0.10250470424210514</v>
      </c>
      <c r="U12" s="153">
        <v>0.11860169944913644</v>
      </c>
      <c r="V12" s="27"/>
    </row>
    <row r="13" spans="1:24" ht="14.1">
      <c r="A13" s="67"/>
      <c r="B13" s="23" t="s">
        <v>28</v>
      </c>
      <c r="C13" s="36" t="s">
        <v>29</v>
      </c>
      <c r="D13" s="22"/>
      <c r="E13" s="153">
        <v>0.30299999999999999</v>
      </c>
      <c r="F13" s="153">
        <v>0.12659999999999999</v>
      </c>
      <c r="G13" s="153">
        <v>-3.5999999999999999E-3</v>
      </c>
      <c r="H13" s="153">
        <v>-7.5057074650519695E-4</v>
      </c>
      <c r="I13" s="153">
        <v>5.3977361639977017E-2</v>
      </c>
      <c r="J13" s="153"/>
      <c r="K13" s="153">
        <v>14.951599999999999</v>
      </c>
      <c r="L13" s="153">
        <v>0.12987248443826682</v>
      </c>
      <c r="M13" s="153">
        <v>0.1119</v>
      </c>
      <c r="N13" s="153">
        <v>0.11002353444587065</v>
      </c>
      <c r="O13" s="153">
        <v>1.8985206958030076E-2</v>
      </c>
      <c r="P13" s="153"/>
      <c r="Q13" s="153">
        <v>0.19432765707574867</v>
      </c>
      <c r="R13" s="153">
        <v>0.19489820384250525</v>
      </c>
      <c r="S13" s="153">
        <v>0.191</v>
      </c>
      <c r="T13" s="153">
        <v>0.21650409472640969</v>
      </c>
      <c r="U13" s="153">
        <v>0.20931613695077653</v>
      </c>
      <c r="V13" s="27"/>
    </row>
    <row r="14" spans="1:24" ht="14.1">
      <c r="A14" s="67"/>
      <c r="B14" s="22" t="s">
        <v>56</v>
      </c>
      <c r="C14" s="36" t="s">
        <v>57</v>
      </c>
      <c r="D14" s="22"/>
      <c r="E14" s="153">
        <v>0.1439</v>
      </c>
      <c r="F14" s="153">
        <v>-1.4E-3</v>
      </c>
      <c r="G14" s="153">
        <v>0</v>
      </c>
      <c r="H14" s="153">
        <v>4.3629708961974822E-2</v>
      </c>
      <c r="I14" s="153">
        <v>3.8175797972149317E-2</v>
      </c>
      <c r="J14" s="153"/>
      <c r="K14" s="153">
        <v>-7.2999999999999995E-2</v>
      </c>
      <c r="L14" s="153">
        <v>-7.8501038278258051E-3</v>
      </c>
      <c r="M14" s="153">
        <v>0</v>
      </c>
      <c r="N14" s="153">
        <v>3.1866629565553861E-2</v>
      </c>
      <c r="O14" s="153">
        <v>5.6828973748695777E-2</v>
      </c>
      <c r="P14" s="153"/>
      <c r="Q14" s="153">
        <v>0.2752</v>
      </c>
      <c r="R14" s="153">
        <v>0.27150000000000002</v>
      </c>
      <c r="S14" s="153">
        <v>0.27150000000000002</v>
      </c>
      <c r="T14" s="153">
        <v>0.28325811090409719</v>
      </c>
      <c r="U14" s="153">
        <v>0.2883474833814243</v>
      </c>
      <c r="V14" s="27"/>
    </row>
    <row r="15" spans="1:24" ht="14.1">
      <c r="A15" s="67"/>
      <c r="B15" s="22" t="s">
        <v>58</v>
      </c>
      <c r="C15" s="36" t="s">
        <v>59</v>
      </c>
      <c r="D15" s="22"/>
      <c r="E15" s="153">
        <v>0.63600000000000001</v>
      </c>
      <c r="F15" s="153">
        <v>0.35236632391096179</v>
      </c>
      <c r="G15" s="153">
        <v>0.25659999999999999</v>
      </c>
      <c r="H15" s="153">
        <v>0.27996449429588766</v>
      </c>
      <c r="I15" s="153">
        <v>0.19186347072841659</v>
      </c>
      <c r="J15" s="153"/>
      <c r="K15" s="153">
        <v>-0.53849999999999998</v>
      </c>
      <c r="L15" s="153">
        <v>-2.9902012711864412</v>
      </c>
      <c r="M15" s="153">
        <v>-0.62109999999999999</v>
      </c>
      <c r="N15" s="153">
        <v>2.131603459747172</v>
      </c>
      <c r="O15" s="153">
        <v>0.57000509900569396</v>
      </c>
      <c r="P15" s="153"/>
      <c r="Q15" s="153">
        <v>-4.1207074826962481E-2</v>
      </c>
      <c r="R15" s="153">
        <v>6.0642128728351112E-2</v>
      </c>
      <c r="S15" s="153">
        <v>-4.8300000000000003E-2</v>
      </c>
      <c r="T15" s="153">
        <v>0.14836903756194125</v>
      </c>
      <c r="U15" s="153">
        <v>0.19544197068515903</v>
      </c>
      <c r="V15" s="27"/>
    </row>
    <row r="16" spans="1:24" ht="14.1">
      <c r="A16" s="67"/>
      <c r="B16" s="174" t="s">
        <v>60</v>
      </c>
      <c r="C16" s="36" t="s">
        <v>61</v>
      </c>
      <c r="D16" s="22"/>
      <c r="E16" s="153">
        <v>6.5299999999999997E-2</v>
      </c>
      <c r="F16" s="153">
        <v>-1.3056037473976434E-2</v>
      </c>
      <c r="G16" s="153">
        <v>-2.23E-2</v>
      </c>
      <c r="H16" s="153">
        <v>3.7999593935041931E-2</v>
      </c>
      <c r="I16" s="153">
        <v>2.1985921897266891E-2</v>
      </c>
      <c r="J16" s="153"/>
      <c r="K16" s="153">
        <v>0.21870000000000001</v>
      </c>
      <c r="L16" s="153">
        <v>-2.9159471813103077E-2</v>
      </c>
      <c r="M16" s="153">
        <v>-2.7E-2</v>
      </c>
      <c r="N16" s="153">
        <v>5.0063167476204429E-2</v>
      </c>
      <c r="O16" s="153">
        <v>2.8924641991545652E-2</v>
      </c>
      <c r="P16" s="153"/>
      <c r="Q16" s="153">
        <v>0.30840000000000001</v>
      </c>
      <c r="R16" s="153">
        <v>0.33602929995983299</v>
      </c>
      <c r="S16" s="153">
        <v>0.30690000000000001</v>
      </c>
      <c r="T16" s="153">
        <v>0.33993461379206985</v>
      </c>
      <c r="U16" s="153">
        <v>0.34224258211621378</v>
      </c>
      <c r="V16" s="27"/>
    </row>
    <row r="17" spans="1:22" ht="14.1">
      <c r="A17" s="67"/>
      <c r="B17" s="23" t="s">
        <v>62</v>
      </c>
      <c r="C17" s="36" t="s">
        <v>63</v>
      </c>
      <c r="D17" s="22"/>
      <c r="E17" s="153">
        <v>5.1499999999999997E-2</v>
      </c>
      <c r="F17" s="153">
        <v>3.8940855800069007E-2</v>
      </c>
      <c r="G17" s="153">
        <v>2.81E-2</v>
      </c>
      <c r="H17" s="153">
        <v>8.5683316727040992E-3</v>
      </c>
      <c r="I17" s="153">
        <v>1.8767789449500194E-2</v>
      </c>
      <c r="J17" s="153"/>
      <c r="K17" s="153">
        <v>-4.6300000000000001E-2</v>
      </c>
      <c r="L17" s="153">
        <v>-2.3398813734559654E-2</v>
      </c>
      <c r="M17" s="153">
        <v>-7.6899999999999996E-2</v>
      </c>
      <c r="N17" s="153">
        <v>-1.2783672559679604E-2</v>
      </c>
      <c r="O17" s="153">
        <v>2.0189803504188752E-2</v>
      </c>
      <c r="P17" s="153"/>
      <c r="Q17" s="153">
        <v>0.34409347089332865</v>
      </c>
      <c r="R17" s="153">
        <v>0.32344679678790544</v>
      </c>
      <c r="S17" s="153">
        <v>0.28360000000000002</v>
      </c>
      <c r="T17" s="153">
        <v>0.31659923162341891</v>
      </c>
      <c r="U17" s="153">
        <v>0.31704114641669612</v>
      </c>
      <c r="V17" s="27"/>
    </row>
    <row r="18" spans="1:22" ht="14.1">
      <c r="A18" s="67"/>
      <c r="B18" s="22" t="s">
        <v>64</v>
      </c>
      <c r="C18" s="36" t="s">
        <v>65</v>
      </c>
      <c r="D18" s="22"/>
      <c r="E18" s="153">
        <v>-1.0999999999999999E-2</v>
      </c>
      <c r="F18" s="153">
        <v>0.8266552508242202</v>
      </c>
      <c r="G18" s="153">
        <v>9.4999999999999998E-3</v>
      </c>
      <c r="H18" s="153">
        <v>4.0163747317800702E-2</v>
      </c>
      <c r="I18" s="153">
        <v>5.1165907341895078E-2</v>
      </c>
      <c r="J18" s="153"/>
      <c r="K18" s="153">
        <v>-0.30209999999999998</v>
      </c>
      <c r="L18" s="153">
        <v>0.89902780146682582</v>
      </c>
      <c r="M18" s="153">
        <v>-1.7000000000000001E-2</v>
      </c>
      <c r="N18" s="153">
        <v>0.11078178951360207</v>
      </c>
      <c r="O18" s="153">
        <v>0.10418931423899669</v>
      </c>
      <c r="P18" s="153"/>
      <c r="Q18" s="153">
        <v>0.29336676544335533</v>
      </c>
      <c r="R18" s="153">
        <v>0.30499003211030112</v>
      </c>
      <c r="S18" s="153">
        <v>0.25569999999999998</v>
      </c>
      <c r="T18" s="153">
        <v>0.3256961940125998</v>
      </c>
      <c r="U18" s="153">
        <v>0.34212511517466188</v>
      </c>
      <c r="V18" s="27"/>
    </row>
    <row r="19" spans="1:22" ht="14.1">
      <c r="A19" s="67"/>
      <c r="B19" s="23" t="s">
        <v>30</v>
      </c>
      <c r="C19" s="36" t="s">
        <v>31</v>
      </c>
      <c r="D19" s="22"/>
      <c r="E19" s="153">
        <v>0.1118</v>
      </c>
      <c r="F19" s="153">
        <v>2.06E-2</v>
      </c>
      <c r="G19" s="153">
        <v>0</v>
      </c>
      <c r="H19" s="153">
        <v>6.9209381044488261E-3</v>
      </c>
      <c r="I19" s="153">
        <v>8.908365098898452E-2</v>
      </c>
      <c r="J19" s="153"/>
      <c r="K19" s="153">
        <v>3.7189999999999999</v>
      </c>
      <c r="L19" s="153">
        <v>-4.6988962757374297E-2</v>
      </c>
      <c r="M19" s="153">
        <v>0</v>
      </c>
      <c r="N19" s="153">
        <v>5.9939045038943428E-2</v>
      </c>
      <c r="O19" s="153">
        <v>0.18530351437699677</v>
      </c>
      <c r="P19" s="153"/>
      <c r="Q19" s="153">
        <v>0.23894201110425664</v>
      </c>
      <c r="R19" s="153">
        <v>0.22311714216634432</v>
      </c>
      <c r="S19" s="153">
        <v>0.19450000000000001</v>
      </c>
      <c r="T19" s="153">
        <v>0.23486508389110664</v>
      </c>
      <c r="U19" s="153">
        <v>0.25561526801708695</v>
      </c>
      <c r="V19" s="27"/>
    </row>
    <row r="20" spans="1:22" ht="14.1">
      <c r="A20" s="67"/>
      <c r="B20" s="22" t="s">
        <v>66</v>
      </c>
      <c r="C20" s="36" t="s">
        <v>67</v>
      </c>
      <c r="D20" s="22"/>
      <c r="E20" s="153">
        <v>0.14360000000000001</v>
      </c>
      <c r="F20" s="153">
        <v>8.6546628956530647E-2</v>
      </c>
      <c r="G20" s="153">
        <v>5.1299999999999998E-2</v>
      </c>
      <c r="H20" s="153">
        <v>9.4093896310295966E-2</v>
      </c>
      <c r="I20" s="153">
        <v>0.10484618162973658</v>
      </c>
      <c r="J20" s="153"/>
      <c r="K20" s="153">
        <v>0.11020000000000001</v>
      </c>
      <c r="L20" s="153">
        <v>9.2815471542101236E-2</v>
      </c>
      <c r="M20" s="153">
        <v>0.1077</v>
      </c>
      <c r="N20" s="153">
        <v>0.13493347905588604</v>
      </c>
      <c r="O20" s="153">
        <v>0.1459101094464712</v>
      </c>
      <c r="P20" s="153"/>
      <c r="Q20" s="153">
        <v>0.40639205473570239</v>
      </c>
      <c r="R20" s="153">
        <v>0.40873673811262407</v>
      </c>
      <c r="S20" s="153">
        <v>0.43619999999999998</v>
      </c>
      <c r="T20" s="153">
        <v>0.42399378130937987</v>
      </c>
      <c r="U20" s="153">
        <v>0.43975240030985496</v>
      </c>
      <c r="V20" s="27"/>
    </row>
    <row r="21" spans="1:22" ht="14.1">
      <c r="A21" s="67"/>
      <c r="B21" s="22" t="s">
        <v>32</v>
      </c>
      <c r="C21" s="36" t="s">
        <v>33</v>
      </c>
      <c r="D21" s="22"/>
      <c r="E21" s="153">
        <v>0.25219999999999998</v>
      </c>
      <c r="F21" s="153">
        <v>0.18052451893234012</v>
      </c>
      <c r="G21" s="153">
        <v>0.1459</v>
      </c>
      <c r="H21" s="153">
        <v>0.11692979112168578</v>
      </c>
      <c r="I21" s="153">
        <v>8.0825532375641718E-2</v>
      </c>
      <c r="J21" s="153"/>
      <c r="K21" s="153">
        <v>4.2000000000000003E-2</v>
      </c>
      <c r="L21" s="153">
        <v>0.23721574344023333</v>
      </c>
      <c r="M21" s="153">
        <v>0.15490000000000001</v>
      </c>
      <c r="N21" s="153">
        <v>0.21441447810257674</v>
      </c>
      <c r="O21" s="153">
        <v>0.15081836792114167</v>
      </c>
      <c r="P21" s="153"/>
      <c r="Q21" s="153">
        <v>0.21291123525760397</v>
      </c>
      <c r="R21" s="153">
        <v>0.22313567231475032</v>
      </c>
      <c r="S21" s="153">
        <v>0.24840000000000001</v>
      </c>
      <c r="T21" s="153">
        <v>0.2426107649685412</v>
      </c>
      <c r="U21" s="153">
        <v>0.25832191803196575</v>
      </c>
      <c r="V21" s="27"/>
    </row>
    <row r="22" spans="1:22" ht="14.1">
      <c r="A22" s="67"/>
      <c r="B22" s="22" t="s">
        <v>68</v>
      </c>
      <c r="C22" s="36" t="s">
        <v>69</v>
      </c>
      <c r="D22" s="22"/>
      <c r="E22" s="153">
        <v>1.1999999999999999E-3</v>
      </c>
      <c r="F22" s="153">
        <v>1.5231714539532204E-2</v>
      </c>
      <c r="G22" s="153">
        <v>1.23E-2</v>
      </c>
      <c r="H22" s="153">
        <v>-6.6650057221563364E-3</v>
      </c>
      <c r="I22" s="153">
        <v>3.019393051271213E-2</v>
      </c>
      <c r="J22" s="153"/>
      <c r="K22" s="153">
        <v>3.3000000000000002E-2</v>
      </c>
      <c r="L22" s="153">
        <v>4.9368904950441994E-3</v>
      </c>
      <c r="M22" s="153">
        <v>1E-3</v>
      </c>
      <c r="N22" s="153">
        <v>1.5253793154143658E-2</v>
      </c>
      <c r="O22" s="153">
        <v>3.6636683251002111E-2</v>
      </c>
      <c r="P22" s="153"/>
      <c r="Q22" s="153">
        <v>0.30969999999999998</v>
      </c>
      <c r="R22" s="153">
        <v>0.30641420310110495</v>
      </c>
      <c r="S22" s="153">
        <v>0.30299999999999999</v>
      </c>
      <c r="T22" s="153">
        <v>0.31317549846400272</v>
      </c>
      <c r="U22" s="153">
        <v>0.31513407368031182</v>
      </c>
      <c r="V22" s="27"/>
    </row>
    <row r="23" spans="1:22" ht="14.1">
      <c r="A23" s="67"/>
      <c r="B23" s="22"/>
      <c r="C23" s="29"/>
      <c r="D23" s="22"/>
      <c r="E23" s="153"/>
      <c r="F23" s="153"/>
      <c r="G23" s="153"/>
      <c r="H23" s="153"/>
      <c r="I23" s="153"/>
      <c r="J23" s="153"/>
      <c r="K23" s="153"/>
      <c r="L23" s="153"/>
      <c r="M23" s="153"/>
      <c r="N23" s="153"/>
      <c r="O23" s="153"/>
      <c r="P23" s="153"/>
      <c r="Q23" s="153"/>
      <c r="R23" s="153"/>
      <c r="S23" s="153"/>
      <c r="T23" s="153"/>
      <c r="U23" s="153"/>
      <c r="V23" s="27"/>
    </row>
    <row r="24" spans="1:22" ht="14.1">
      <c r="A24" s="67"/>
      <c r="B24" s="22" t="s">
        <v>34</v>
      </c>
      <c r="C24" s="36" t="s">
        <v>35</v>
      </c>
      <c r="D24" s="22"/>
      <c r="E24" s="153">
        <v>8.0477263042551872E-2</v>
      </c>
      <c r="F24" s="153">
        <v>0.15741731928559366</v>
      </c>
      <c r="G24" s="153"/>
      <c r="H24" s="153">
        <v>-6.1237404468675538E-2</v>
      </c>
      <c r="I24" s="153">
        <v>8.5569095151672325E-2</v>
      </c>
      <c r="J24" s="153"/>
      <c r="K24" s="153">
        <v>-2.6009657594381119E-2</v>
      </c>
      <c r="L24" s="153">
        <v>0.68112676056338017</v>
      </c>
      <c r="M24" s="153"/>
      <c r="N24" s="153">
        <v>-0.63538873994638068</v>
      </c>
      <c r="O24" s="153">
        <v>0.54595588235294112</v>
      </c>
      <c r="P24" s="153"/>
      <c r="Q24" s="153">
        <v>0.10000563412023213</v>
      </c>
      <c r="R24" s="153">
        <v>0.14525629168086451</v>
      </c>
      <c r="S24" s="153"/>
      <c r="T24" s="153">
        <v>5.6416904329789991E-2</v>
      </c>
      <c r="U24" s="153">
        <v>8.0343154113645912E-2</v>
      </c>
      <c r="V24" s="27"/>
    </row>
    <row r="25" spans="1:22" ht="14.1">
      <c r="A25" s="67"/>
      <c r="B25" s="22"/>
      <c r="C25" s="22"/>
      <c r="D25" s="22"/>
      <c r="E25" s="31"/>
      <c r="F25" s="31"/>
      <c r="G25" s="31"/>
      <c r="H25" s="31"/>
      <c r="I25" s="31"/>
      <c r="J25" s="22"/>
      <c r="K25" s="31"/>
      <c r="L25" s="31"/>
      <c r="M25" s="31"/>
      <c r="N25" s="31"/>
      <c r="O25" s="31"/>
      <c r="P25" s="68"/>
      <c r="Q25" s="32"/>
      <c r="R25" s="32"/>
      <c r="S25" s="32"/>
      <c r="T25" s="32"/>
      <c r="U25" s="32"/>
      <c r="V25" s="69"/>
    </row>
    <row r="26" spans="1:22" ht="14.1">
      <c r="A26" s="67"/>
      <c r="B26" s="143" t="s">
        <v>39</v>
      </c>
      <c r="C26" s="43"/>
      <c r="D26" s="44"/>
      <c r="E26" s="150">
        <f>IFERROR(MIN(E$8:E$22),"NA")</f>
        <v>-1.0999999999999999E-2</v>
      </c>
      <c r="F26" s="150">
        <f t="shared" ref="F26:G26" si="2">IFERROR(MIN(F$8:F$22),"NA")</f>
        <v>-3.8897893030794273E-2</v>
      </c>
      <c r="G26" s="150">
        <f t="shared" si="2"/>
        <v>-7.8399999999999997E-2</v>
      </c>
      <c r="H26" s="150">
        <f>IFERROR(MIN(H$8:H$22),"NA")</f>
        <v>-6.6650057221563364E-3</v>
      </c>
      <c r="I26" s="150">
        <f>IFERROR(MIN(I$8:I$22),"NA")</f>
        <v>1.8767789449500194E-2</v>
      </c>
      <c r="J26" s="47"/>
      <c r="K26" s="150">
        <f>IFERROR(MIN(K$8:K$22),"NA")</f>
        <v>-0.53849999999999998</v>
      </c>
      <c r="L26" s="150">
        <f t="shared" ref="L26:N26" si="3">IFERROR(MIN(L$8:L$22),"NA")</f>
        <v>-2.9902012711864412</v>
      </c>
      <c r="M26" s="150">
        <f t="shared" si="3"/>
        <v>-0.62109999999999999</v>
      </c>
      <c r="N26" s="150">
        <f t="shared" si="3"/>
        <v>-1.2783672559679604E-2</v>
      </c>
      <c r="O26" s="150">
        <f>IFERROR(MIN(O$8:O$22),"NA")</f>
        <v>1.8985206958030076E-2</v>
      </c>
      <c r="P26" s="48"/>
      <c r="Q26" s="150">
        <f>IFERROR(MIN(Q$8:Q$22),"NA")</f>
        <v>-4.1207074826962481E-2</v>
      </c>
      <c r="R26" s="150">
        <f t="shared" ref="R26:T26" si="4">IFERROR(MIN(R$8:R$22),"NA")</f>
        <v>6.0642128728351112E-2</v>
      </c>
      <c r="S26" s="150">
        <f t="shared" si="4"/>
        <v>-4.8300000000000003E-2</v>
      </c>
      <c r="T26" s="150">
        <f t="shared" si="4"/>
        <v>9.0112641233183244E-2</v>
      </c>
      <c r="U26" s="150">
        <f>IFERROR(MIN(U$8:U$22),"NA")</f>
        <v>9.0112641233183244E-2</v>
      </c>
      <c r="V26" s="148"/>
    </row>
    <row r="27" spans="1:22" ht="14.1">
      <c r="A27" s="67"/>
      <c r="B27" s="141" t="s">
        <v>40</v>
      </c>
      <c r="C27" s="38"/>
      <c r="D27" s="39"/>
      <c r="E27" s="151">
        <f>IFERROR(QUARTILE(E$8:E$22,1),"NA")</f>
        <v>8.854999999999999E-2</v>
      </c>
      <c r="F27" s="151">
        <f t="shared" ref="F27:G27" si="5">IFERROR(QUARTILE(F$8:F$22,1),"NA")</f>
        <v>4.7956781560132616E-3</v>
      </c>
      <c r="G27" s="151">
        <f t="shared" si="5"/>
        <v>-1.295E-2</v>
      </c>
      <c r="H27" s="151">
        <f>IFERROR(QUARTILE(H$8:H$22,1),"NA")</f>
        <v>2.3283962803873015E-2</v>
      </c>
      <c r="I27" s="151">
        <f>IFERROR(QUARTILE(I$8:I$22,1),"NA")</f>
        <v>4.2739391182404884E-2</v>
      </c>
      <c r="J27" s="41"/>
      <c r="K27" s="151">
        <f>IFERROR(QUARTILE(K$8:K$22,1),"NA")</f>
        <v>-1.6650000000000002E-2</v>
      </c>
      <c r="L27" s="151">
        <f t="shared" ref="L27:N27" si="6">IFERROR(QUARTILE(L$8:L$22,1),"NA")</f>
        <v>-2.6279142773831365E-2</v>
      </c>
      <c r="M27" s="151">
        <f t="shared" si="6"/>
        <v>-7.9049999999999995E-2</v>
      </c>
      <c r="N27" s="151">
        <f t="shared" si="6"/>
        <v>5.5001106257573928E-2</v>
      </c>
      <c r="O27" s="151">
        <f>IFERROR(QUARTILE(O$8:O$22,1),"NA")</f>
        <v>4.6732828499848944E-2</v>
      </c>
      <c r="P27" s="42"/>
      <c r="Q27" s="151">
        <f>IFERROR(QUARTILE(Q$8:Q$22,1),"NA")</f>
        <v>0.19561382853787435</v>
      </c>
      <c r="R27" s="151">
        <f t="shared" ref="R27:T27" si="7">IFERROR(QUARTILE(R$8:R$22,1),"NA")</f>
        <v>0.19518942052640392</v>
      </c>
      <c r="S27" s="151">
        <f t="shared" si="7"/>
        <v>0.18940000000000001</v>
      </c>
      <c r="T27" s="151">
        <f t="shared" si="7"/>
        <v>0.21487285305267076</v>
      </c>
      <c r="U27" s="151">
        <f>IFERROR(QUARTILE(U$8:U$22,1),"NA")</f>
        <v>0.2134306806979675</v>
      </c>
      <c r="V27" s="147"/>
    </row>
    <row r="28" spans="1:22" ht="14.1">
      <c r="A28" s="67"/>
      <c r="B28" s="141" t="s">
        <v>41</v>
      </c>
      <c r="C28" s="38"/>
      <c r="D28" s="39"/>
      <c r="E28" s="151">
        <f>IFERROR(AVERAGE(E$8:E$22),"NA")</f>
        <v>0.21707333333333334</v>
      </c>
      <c r="F28" s="151">
        <f t="shared" ref="F28:G28" si="8">IFERROR(AVERAGE(F$8:F$22),"NA")</f>
        <v>0.15099341969219815</v>
      </c>
      <c r="G28" s="151">
        <f t="shared" si="8"/>
        <v>6.4180000000000001E-2</v>
      </c>
      <c r="H28" s="151">
        <f>IFERROR(AVERAGE(H$8:H$22),"NA")</f>
        <v>8.0049430735390309E-2</v>
      </c>
      <c r="I28" s="151">
        <f>IFERROR(AVERAGE(I$8:I$22),"NA")</f>
        <v>7.0219815095519708E-2</v>
      </c>
      <c r="J28" s="41"/>
      <c r="K28" s="151">
        <f>IFERROR(AVERAGE(K$8:K$22),"NA")</f>
        <v>1.6718733333333335</v>
      </c>
      <c r="L28" s="151">
        <f t="shared" ref="L28:N28" si="9">IFERROR(AVERAGE(L$8:L$22),"NA")</f>
        <v>-8.633867269672825E-2</v>
      </c>
      <c r="M28" s="151">
        <f t="shared" si="9"/>
        <v>-3.6679999999999997E-2</v>
      </c>
      <c r="N28" s="151">
        <f t="shared" si="9"/>
        <v>0.28351683931386545</v>
      </c>
      <c r="O28" s="151">
        <f>IFERROR(AVERAGE(O$8:O$22),"NA")</f>
        <v>0.13346555917271327</v>
      </c>
      <c r="P28" s="42"/>
      <c r="Q28" s="151">
        <f>IFERROR(AVERAGE(Q$8:Q$22),"NA")</f>
        <v>0.23745507464553556</v>
      </c>
      <c r="R28" s="151">
        <f t="shared" ref="R28:T28" si="10">IFERROR(AVERAGE(R$8:R$22),"NA")</f>
        <v>0.25411328188666854</v>
      </c>
      <c r="S28" s="151">
        <f t="shared" si="10"/>
        <v>0.22072</v>
      </c>
      <c r="T28" s="151">
        <f t="shared" si="10"/>
        <v>0.27215722662350406</v>
      </c>
      <c r="U28" s="151">
        <f>IFERROR(AVERAGE(U$8:U$22),"NA")</f>
        <v>0.28397918899197799</v>
      </c>
      <c r="V28" s="147"/>
    </row>
    <row r="29" spans="1:22" ht="14.1">
      <c r="A29" s="67"/>
      <c r="B29" s="141" t="s">
        <v>42</v>
      </c>
      <c r="C29" s="38"/>
      <c r="D29" s="39"/>
      <c r="E29" s="151">
        <f>IFERROR(MEDIAN(E$8:E$22),"NA")</f>
        <v>0.23039999999999999</v>
      </c>
      <c r="F29" s="151">
        <f t="shared" ref="F29:G29" si="11">IFERROR(MEDIAN(F$8:F$22),"NA")</f>
        <v>2.3478741347455978E-2</v>
      </c>
      <c r="G29" s="151">
        <f t="shared" si="11"/>
        <v>9.4999999999999998E-3</v>
      </c>
      <c r="H29" s="151">
        <f>IFERROR(MEDIAN(H$8:H$22),"NA")</f>
        <v>9.4093896310295966E-2</v>
      </c>
      <c r="I29" s="151">
        <f>IFERROR(MEDIAN(I$8:I$22),"NA")</f>
        <v>5.6983240223463572E-2</v>
      </c>
      <c r="J29" s="41"/>
      <c r="K29" s="151">
        <f>IFERROR(MEDIAN(K$8:K$22),"NA")</f>
        <v>0.11020000000000001</v>
      </c>
      <c r="L29" s="151">
        <f t="shared" ref="L29:N29" si="12">IFERROR(MEDIAN(L$8:L$22),"NA")</f>
        <v>4.9368904950441994E-3</v>
      </c>
      <c r="M29" s="151">
        <f t="shared" si="12"/>
        <v>0</v>
      </c>
      <c r="N29" s="151">
        <f t="shared" si="12"/>
        <v>0.11078178951360207</v>
      </c>
      <c r="O29" s="151">
        <f>IFERROR(MEDIAN(O$8:O$22),"NA")</f>
        <v>0.10418931423899669</v>
      </c>
      <c r="P29" s="42"/>
      <c r="Q29" s="151">
        <f>IFERROR(MEDIAN(Q$8:Q$22),"NA")</f>
        <v>0.2752</v>
      </c>
      <c r="R29" s="151">
        <f t="shared" ref="R29:T29" si="13">IFERROR(MEDIAN(R$8:R$22),"NA")</f>
        <v>0.27150000000000002</v>
      </c>
      <c r="S29" s="151">
        <f t="shared" si="13"/>
        <v>0.24840000000000001</v>
      </c>
      <c r="T29" s="151">
        <f t="shared" si="13"/>
        <v>0.28325811090409719</v>
      </c>
      <c r="U29" s="151">
        <f>IFERROR(MEDIAN(U$8:U$22),"NA")</f>
        <v>0.2883474833814243</v>
      </c>
      <c r="V29" s="147"/>
    </row>
    <row r="30" spans="1:22">
      <c r="B30" s="141" t="s">
        <v>43</v>
      </c>
      <c r="C30" s="38"/>
      <c r="D30" s="39"/>
      <c r="E30" s="151">
        <f>IFERROR(QUARTILE(E$8:E$22,3),"NA")</f>
        <v>0.27759999999999996</v>
      </c>
      <c r="F30" s="151">
        <f t="shared" ref="F30:G30" si="14">IFERROR(QUARTILE(F$8:F$22,3),"NA")</f>
        <v>0.15356225946617005</v>
      </c>
      <c r="G30" s="151">
        <f t="shared" si="14"/>
        <v>4.9149999999999999E-2</v>
      </c>
      <c r="H30" s="151">
        <f>IFERROR(QUARTILE(H$8:H$22,3),"NA")</f>
        <v>0.11299004816377745</v>
      </c>
      <c r="I30" s="151">
        <f>IFERROR(QUARTILE(I$8:I$22,3),"NA")</f>
        <v>8.9600364441280611E-2</v>
      </c>
      <c r="J30" s="41"/>
      <c r="K30" s="151">
        <f>IFERROR(QUARTILE(K$8:K$22,3),"NA")</f>
        <v>1.77145</v>
      </c>
      <c r="L30" s="151">
        <f t="shared" ref="L30:N30" si="15">IFERROR(QUARTILE(L$8:L$22,3),"NA")</f>
        <v>0.14926291747686538</v>
      </c>
      <c r="M30" s="151">
        <f t="shared" si="15"/>
        <v>5.2499999999999998E-2</v>
      </c>
      <c r="N30" s="151">
        <f t="shared" si="15"/>
        <v>0.17971108011913139</v>
      </c>
      <c r="O30" s="151">
        <f>IFERROR(QUARTILE(O$8:O$22,3),"NA")</f>
        <v>0.16806094114906922</v>
      </c>
      <c r="P30" s="42"/>
      <c r="Q30" s="151">
        <f>IFERROR(QUARTILE(Q$8:Q$22,3),"NA")</f>
        <v>0.30904999999999999</v>
      </c>
      <c r="R30" s="151">
        <f t="shared" ref="R30:T30" si="16">IFERROR(QUARTILE(R$8:R$22,3),"NA")</f>
        <v>0.32973804837386922</v>
      </c>
      <c r="S30" s="151">
        <f t="shared" si="16"/>
        <v>0.28495000000000004</v>
      </c>
      <c r="T30" s="151">
        <f t="shared" si="16"/>
        <v>0.33281540390233483</v>
      </c>
      <c r="U30" s="151">
        <f>IFERROR(QUARTILE(U$8:U$22,3),"NA")</f>
        <v>0.34218384864543783</v>
      </c>
      <c r="V30" s="147"/>
    </row>
    <row r="31" spans="1:22">
      <c r="B31" s="145" t="s">
        <v>44</v>
      </c>
      <c r="C31" s="49"/>
      <c r="D31" s="50"/>
      <c r="E31" s="152">
        <f>IFERROR(MAX(E$8:E$22),"NA")</f>
        <v>0.63600000000000001</v>
      </c>
      <c r="F31" s="152">
        <f t="shared" ref="F31:G31" si="17">IFERROR(MAX(F$8:F$22),"NA")</f>
        <v>0.8266552508242202</v>
      </c>
      <c r="G31" s="152">
        <f t="shared" si="17"/>
        <v>0.65739999999999998</v>
      </c>
      <c r="H31" s="152">
        <f>IFERROR(MAX(H$8:H$22),"NA")</f>
        <v>0.27996449429588766</v>
      </c>
      <c r="I31" s="152">
        <f>IFERROR(MAX(I$8:I$22),"NA")</f>
        <v>0.19186347072841659</v>
      </c>
      <c r="J31" s="53"/>
      <c r="K31" s="152">
        <f>IFERROR(MAX(K$8:K$22),"NA")</f>
        <v>14.951599999999999</v>
      </c>
      <c r="L31" s="152">
        <f t="shared" ref="L31:N31" si="18">IFERROR(MAX(L$8:L$22),"NA")</f>
        <v>0.89902780146682582</v>
      </c>
      <c r="M31" s="152">
        <f t="shared" si="18"/>
        <v>0.15490000000000001</v>
      </c>
      <c r="N31" s="152">
        <f t="shared" si="18"/>
        <v>2.131603459747172</v>
      </c>
      <c r="O31" s="152">
        <f>IFERROR(MAX(O$8:O$22),"NA")</f>
        <v>0.57000509900569396</v>
      </c>
      <c r="P31" s="54"/>
      <c r="Q31" s="152">
        <f>IFERROR(MAX(Q$8:Q$22),"NA")</f>
        <v>0.40639205473570239</v>
      </c>
      <c r="R31" s="152">
        <f t="shared" ref="R31:T31" si="19">IFERROR(MAX(R$8:R$22),"NA")</f>
        <v>0.45093401327329607</v>
      </c>
      <c r="S31" s="152">
        <f t="shared" si="19"/>
        <v>0.43619999999999998</v>
      </c>
      <c r="T31" s="152">
        <f t="shared" si="19"/>
        <v>0.46126962264029497</v>
      </c>
      <c r="U31" s="152">
        <f>IFERROR(MAX(U$8:U$22),"NA")</f>
        <v>0.49369522665279336</v>
      </c>
      <c r="V31" s="149"/>
    </row>
    <row r="32" spans="1:22">
      <c r="B32" s="22" t="s">
        <v>70</v>
      </c>
      <c r="C32" s="22"/>
      <c r="D32" s="7"/>
      <c r="E32" s="7"/>
      <c r="F32" s="7"/>
      <c r="G32" s="7"/>
      <c r="H32" s="7"/>
      <c r="I32" s="7"/>
      <c r="J32" s="7"/>
      <c r="K32" s="7"/>
      <c r="L32" s="7"/>
      <c r="M32" s="7"/>
      <c r="N32" s="7"/>
      <c r="O32" s="7"/>
      <c r="P32" s="7"/>
      <c r="Q32" s="7"/>
      <c r="R32" s="7"/>
      <c r="S32" s="7"/>
      <c r="T32" s="7"/>
      <c r="U32" s="7"/>
      <c r="V32" s="7"/>
    </row>
    <row r="33" spans="2:22" ht="15.95">
      <c r="B33" s="7" t="s">
        <v>71</v>
      </c>
      <c r="C33" s="7"/>
      <c r="D33" s="139"/>
      <c r="E33" s="7"/>
      <c r="F33" s="7"/>
      <c r="G33" s="7"/>
      <c r="H33" s="7"/>
      <c r="I33" s="7"/>
      <c r="J33" s="139"/>
      <c r="K33" s="7"/>
      <c r="L33" s="7"/>
      <c r="M33" s="7"/>
      <c r="N33" s="7"/>
      <c r="O33" s="7"/>
      <c r="P33" s="7"/>
      <c r="Q33" s="7"/>
      <c r="R33" s="7"/>
      <c r="S33" s="7"/>
      <c r="T33" s="7"/>
      <c r="U33" s="7"/>
      <c r="V33" s="7"/>
    </row>
    <row r="34" spans="2:22">
      <c r="B34" s="14"/>
      <c r="C34" s="14"/>
      <c r="D34" s="14"/>
      <c r="E34" s="14"/>
      <c r="F34" s="14"/>
      <c r="G34" s="14"/>
      <c r="H34" s="14"/>
      <c r="I34" s="14"/>
      <c r="J34" s="14"/>
      <c r="K34" s="14"/>
      <c r="L34" s="14"/>
      <c r="M34" s="14"/>
      <c r="N34" s="14"/>
      <c r="O34" s="14"/>
      <c r="P34" s="14"/>
      <c r="Q34" s="14"/>
      <c r="R34" s="14"/>
      <c r="S34" s="14"/>
      <c r="T34" s="14"/>
      <c r="U34" s="14"/>
      <c r="V34" s="14"/>
    </row>
    <row r="35" spans="2:22">
      <c r="B35" s="14" t="s">
        <v>72</v>
      </c>
      <c r="C35" s="14"/>
      <c r="D35" s="14"/>
      <c r="E35" s="14"/>
      <c r="F35" s="14"/>
      <c r="G35" s="14"/>
      <c r="H35" s="14"/>
      <c r="I35" s="14"/>
      <c r="J35" s="14"/>
      <c r="K35" s="14"/>
      <c r="L35" s="14"/>
      <c r="M35" s="14"/>
      <c r="N35" s="14"/>
      <c r="O35" s="14"/>
      <c r="P35" s="14"/>
      <c r="Q35" s="14"/>
      <c r="R35" s="14"/>
      <c r="S35" s="14"/>
      <c r="T35" s="14"/>
      <c r="U35" s="14"/>
      <c r="V35" s="14"/>
    </row>
    <row r="40" spans="2:22">
      <c r="F40" s="171"/>
      <c r="G40" s="171"/>
      <c r="H40" s="171"/>
      <c r="I40" s="171"/>
    </row>
    <row r="41" spans="2:22">
      <c r="E41" s="172"/>
      <c r="F41" s="172"/>
      <c r="G41" s="172"/>
      <c r="H41" s="172"/>
      <c r="I41" s="172"/>
    </row>
    <row r="42" spans="2:22">
      <c r="E42" s="171"/>
      <c r="F42" s="171"/>
      <c r="G42" s="171"/>
      <c r="H42" s="171"/>
      <c r="I42" s="171"/>
    </row>
    <row r="43" spans="2:22">
      <c r="E43" s="171"/>
      <c r="F43" s="171"/>
      <c r="G43" s="171"/>
      <c r="H43" s="171"/>
      <c r="I43" s="171"/>
    </row>
  </sheetData>
  <phoneticPr fontId="8" type="noConversion"/>
  <conditionalFormatting sqref="B8:U13 E10:U23 B14:G14 B15:E18 B19:G19 B20:E23 B24:U24">
    <cfRule type="expression" dxfId="1" priority="1">
      <formula>MOD(ROW(),2)=0</formula>
    </cfRule>
  </conditionalFormatting>
  <pageMargins left="0.5" right="0.5" top="0.5" bottom="0.5" header="0.3" footer="0.3"/>
  <pageSetup scale="5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50C2E-BB44-48AF-BBCD-4F06BFC76203}">
  <sheetPr>
    <pageSetUpPr fitToPage="1"/>
  </sheetPr>
  <dimension ref="A2:T56"/>
  <sheetViews>
    <sheetView showGridLines="0" view="pageBreakPreview" zoomScale="125" zoomScaleNormal="96" zoomScaleSheetLayoutView="100" workbookViewId="0">
      <selection activeCell="R40" sqref="R40"/>
    </sheetView>
  </sheetViews>
  <sheetFormatPr defaultColWidth="9.140625" defaultRowHeight="15"/>
  <cols>
    <col min="1" max="1" width="4" customWidth="1"/>
    <col min="2" max="2" width="3.7109375" style="78" customWidth="1"/>
    <col min="3" max="3" width="13.7109375" style="78" customWidth="1"/>
    <col min="4" max="4" width="14.42578125" style="78" customWidth="1"/>
    <col min="5" max="5" width="16.42578125" style="78" customWidth="1"/>
    <col min="6" max="7" width="13.7109375" style="78" customWidth="1"/>
    <col min="8" max="8" width="11.85546875" style="78" bestFit="1" customWidth="1"/>
    <col min="9" max="9" width="13" style="78" bestFit="1" customWidth="1"/>
    <col min="10" max="10" width="13.85546875" style="78" bestFit="1" customWidth="1"/>
    <col min="11" max="11" width="13.42578125" style="78" bestFit="1" customWidth="1"/>
    <col min="12" max="12" width="10.7109375" style="78" bestFit="1" customWidth="1"/>
    <col min="13" max="13" width="10.42578125" style="78" bestFit="1" customWidth="1"/>
    <col min="14" max="14" width="11" style="78" bestFit="1" customWidth="1"/>
    <col min="15" max="15" width="10.85546875" style="78" bestFit="1" customWidth="1"/>
    <col min="16" max="16" width="10.28515625" style="78" bestFit="1" customWidth="1"/>
    <col min="17" max="17" width="2.140625" style="78" customWidth="1"/>
    <col min="18" max="18" width="7.42578125" style="78" bestFit="1" customWidth="1"/>
    <col min="19" max="19" width="1.7109375" style="78" customWidth="1"/>
    <col min="20" max="16384" width="9.140625" style="78"/>
  </cols>
  <sheetData>
    <row r="2" spans="1:19">
      <c r="B2" s="70" t="s">
        <v>1</v>
      </c>
      <c r="C2" s="70"/>
      <c r="D2" s="71"/>
      <c r="E2" s="71"/>
      <c r="F2" s="71"/>
      <c r="G2" s="71"/>
      <c r="H2" s="71"/>
      <c r="I2" s="71"/>
      <c r="J2" s="71"/>
      <c r="K2" s="71"/>
      <c r="L2" s="71"/>
      <c r="M2" s="71"/>
      <c r="N2" s="71"/>
      <c r="O2" s="71"/>
      <c r="P2" s="71"/>
      <c r="Q2" s="71"/>
      <c r="R2" s="71"/>
      <c r="S2" s="71" t="str">
        <f>"As of "&amp;TEXT($F$7,"mmmm dd, yyyy")</f>
        <v>As of September 30, 2024</v>
      </c>
    </row>
    <row r="3" spans="1:19">
      <c r="B3" s="72" t="s">
        <v>2</v>
      </c>
      <c r="G3" s="79"/>
      <c r="M3" s="79"/>
      <c r="N3" s="79"/>
    </row>
    <row r="5" spans="1:19">
      <c r="C5" s="112" t="s">
        <v>73</v>
      </c>
      <c r="D5" s="80"/>
      <c r="E5" s="80"/>
      <c r="F5" s="80"/>
      <c r="G5" s="80"/>
      <c r="H5" s="81"/>
      <c r="K5" s="112" t="s">
        <v>74</v>
      </c>
      <c r="L5" s="82"/>
      <c r="M5" s="82"/>
      <c r="N5" s="80"/>
      <c r="O5" s="83"/>
      <c r="P5" s="83"/>
    </row>
    <row r="6" spans="1:19" ht="7.35" customHeight="1"/>
    <row r="7" spans="1:19" ht="14.1">
      <c r="A7" s="30"/>
      <c r="C7" s="100" t="s">
        <v>75</v>
      </c>
      <c r="E7" s="84"/>
      <c r="F7" s="84">
        <v>45565</v>
      </c>
      <c r="G7" s="84"/>
      <c r="K7" s="116" t="s">
        <v>76</v>
      </c>
    </row>
    <row r="8" spans="1:19" ht="14.1">
      <c r="A8" s="67"/>
      <c r="C8" s="100" t="s">
        <v>77</v>
      </c>
      <c r="E8" s="85"/>
      <c r="F8" s="135">
        <v>4.2999999999999997E-2</v>
      </c>
      <c r="G8" s="115" t="s">
        <v>78</v>
      </c>
      <c r="K8" s="78" t="s">
        <v>79</v>
      </c>
      <c r="N8" s="78" t="s">
        <v>80</v>
      </c>
    </row>
    <row r="9" spans="1:19" ht="14.1">
      <c r="A9" s="67"/>
      <c r="C9" s="100" t="s">
        <v>81</v>
      </c>
      <c r="E9" s="85"/>
      <c r="F9" s="135">
        <v>5.3400000000000003E-2</v>
      </c>
      <c r="G9" s="115" t="s">
        <v>82</v>
      </c>
      <c r="K9" s="78" t="s">
        <v>83</v>
      </c>
      <c r="N9" s="78" t="s">
        <v>84</v>
      </c>
    </row>
    <row r="10" spans="1:19" ht="14.1">
      <c r="A10" s="67"/>
      <c r="C10" s="100" t="s">
        <v>85</v>
      </c>
      <c r="E10" s="85"/>
      <c r="F10" s="135">
        <v>4.0599999999999997E-2</v>
      </c>
      <c r="G10" s="115" t="s">
        <v>82</v>
      </c>
    </row>
    <row r="11" spans="1:19" ht="14.1">
      <c r="A11" s="67"/>
      <c r="C11" s="100" t="s">
        <v>86</v>
      </c>
      <c r="E11" s="85"/>
      <c r="F11" s="135">
        <v>0</v>
      </c>
      <c r="G11" s="115" t="s">
        <v>87</v>
      </c>
      <c r="K11" s="116" t="s">
        <v>88</v>
      </c>
    </row>
    <row r="12" spans="1:19" ht="14.1">
      <c r="A12" s="67"/>
      <c r="C12" s="100" t="s">
        <v>89</v>
      </c>
      <c r="E12" s="86"/>
      <c r="F12" s="194">
        <v>0.44</v>
      </c>
      <c r="G12" s="115" t="s">
        <v>90</v>
      </c>
      <c r="K12" s="78" t="s">
        <v>91</v>
      </c>
      <c r="N12" s="78" t="s">
        <v>92</v>
      </c>
    </row>
    <row r="13" spans="1:19" ht="14.1">
      <c r="A13" s="67"/>
      <c r="C13" s="100" t="s">
        <v>93</v>
      </c>
      <c r="E13" s="85"/>
      <c r="F13" s="135"/>
      <c r="G13" s="115" t="s">
        <v>94</v>
      </c>
    </row>
    <row r="14" spans="1:19" ht="14.1">
      <c r="A14" s="67"/>
      <c r="C14" s="100" t="s">
        <v>95</v>
      </c>
      <c r="E14" s="87"/>
      <c r="F14" s="135"/>
      <c r="G14" s="115" t="s">
        <v>94</v>
      </c>
      <c r="K14" s="117" t="s">
        <v>96</v>
      </c>
      <c r="L14" s="89"/>
    </row>
    <row r="15" spans="1:19" ht="14.1">
      <c r="A15" s="67"/>
      <c r="G15" s="115"/>
      <c r="K15" s="89" t="s">
        <v>97</v>
      </c>
      <c r="L15" s="89"/>
      <c r="M15" s="89"/>
      <c r="N15" s="89" t="s">
        <v>98</v>
      </c>
    </row>
    <row r="16" spans="1:19" ht="14.1">
      <c r="A16" s="67"/>
      <c r="G16" s="115"/>
      <c r="K16" s="89" t="s">
        <v>99</v>
      </c>
      <c r="L16" s="89"/>
      <c r="M16" s="89"/>
      <c r="N16" s="89" t="s">
        <v>100</v>
      </c>
    </row>
    <row r="17" spans="1:18" ht="6" customHeight="1">
      <c r="A17" s="67"/>
    </row>
    <row r="18" spans="1:18" ht="6" customHeight="1">
      <c r="A18" s="67"/>
    </row>
    <row r="19" spans="1:18" ht="14.1">
      <c r="A19" s="67"/>
      <c r="C19" s="112" t="s">
        <v>101</v>
      </c>
      <c r="D19" s="82"/>
      <c r="E19" s="82"/>
      <c r="F19" s="82"/>
      <c r="G19" s="82"/>
      <c r="H19" s="82"/>
      <c r="I19" s="82"/>
      <c r="J19" s="82"/>
      <c r="K19" s="82"/>
      <c r="L19" s="82"/>
      <c r="M19" s="82"/>
      <c r="N19" s="90"/>
      <c r="O19" s="90"/>
      <c r="P19" s="90"/>
    </row>
    <row r="20" spans="1:18" ht="60">
      <c r="A20" s="67"/>
      <c r="F20" s="155" t="s">
        <v>7</v>
      </c>
      <c r="G20" s="155" t="s">
        <v>102</v>
      </c>
      <c r="H20" s="155" t="s">
        <v>12</v>
      </c>
      <c r="I20" s="155" t="str">
        <f>"Stock Price 
(as of 
"&amp;TEXT($F$7,"mmmm dd, yyyy")&amp;")"</f>
        <v>Stock Price 
(as of 
September 30, 2024)</v>
      </c>
      <c r="J20" s="155" t="s">
        <v>10</v>
      </c>
      <c r="K20" s="155" t="s">
        <v>103</v>
      </c>
      <c r="L20" s="155" t="s">
        <v>104</v>
      </c>
      <c r="M20" s="155" t="s">
        <v>105</v>
      </c>
      <c r="N20" s="155" t="s">
        <v>106</v>
      </c>
      <c r="O20" s="155" t="s">
        <v>107</v>
      </c>
      <c r="P20" s="155" t="s">
        <v>108</v>
      </c>
      <c r="Q20" s="156"/>
      <c r="R20" s="157" t="s">
        <v>109</v>
      </c>
    </row>
    <row r="21" spans="1:18" ht="7.35" customHeight="1">
      <c r="A21" s="67"/>
    </row>
    <row r="22" spans="1:18" ht="14.1">
      <c r="A22" s="67"/>
      <c r="C22" s="22" t="s">
        <v>21</v>
      </c>
      <c r="D22" s="94"/>
      <c r="E22" s="94"/>
      <c r="F22" s="127" t="s">
        <v>22</v>
      </c>
      <c r="G22" s="134">
        <v>1.33</v>
      </c>
      <c r="H22" s="195">
        <v>8188.8</v>
      </c>
      <c r="I22" s="130">
        <v>109.49</v>
      </c>
      <c r="J22" s="188">
        <v>230.3</v>
      </c>
      <c r="K22" s="96">
        <f>I22*J22</f>
        <v>25215.546999999999</v>
      </c>
      <c r="L22" s="96">
        <v>10142.5</v>
      </c>
      <c r="M22" s="97">
        <f>H22/K22</f>
        <v>0.32475202699350525</v>
      </c>
      <c r="N22" s="97">
        <f>H22/L22</f>
        <v>0.8073749075671679</v>
      </c>
      <c r="O22" s="77">
        <v>0.25600000000000001</v>
      </c>
      <c r="P22" s="98">
        <f t="shared" ref="P22:P36" si="0">IFERROR(IF(R22="YES",G22/(1+M22*(1-O22)),""),"")</f>
        <v>1.0711850740760174</v>
      </c>
      <c r="Q22" s="89"/>
      <c r="R22" s="95" t="s">
        <v>38</v>
      </c>
    </row>
    <row r="23" spans="1:18" ht="14.1">
      <c r="A23" s="67"/>
      <c r="C23" s="22" t="s">
        <v>24</v>
      </c>
      <c r="D23" s="89"/>
      <c r="E23" s="89"/>
      <c r="F23" s="127" t="s">
        <v>25</v>
      </c>
      <c r="G23" s="192">
        <v>0.72</v>
      </c>
      <c r="H23" s="195">
        <v>2988.73</v>
      </c>
      <c r="I23" s="130">
        <v>123.71</v>
      </c>
      <c r="J23" s="188">
        <v>81.099999999999994</v>
      </c>
      <c r="K23" s="96">
        <f>IF(R23="YES",I23*J23,"")</f>
        <v>10032.880999999999</v>
      </c>
      <c r="L23" s="96">
        <f>IF(R23="YES",H23+K23,"")</f>
        <v>13021.610999999999</v>
      </c>
      <c r="M23" s="97">
        <f>IFERROR(IF(R23="YES",H23/K23,""),"")</f>
        <v>0.29789349639450524</v>
      </c>
      <c r="N23" s="97">
        <f>IFERROR(IF(R23="YES",H23/L23,""),"")</f>
        <v>0.22952075591875692</v>
      </c>
      <c r="O23" s="77">
        <v>0.152</v>
      </c>
      <c r="P23" s="98">
        <f>IFERROR(IF(R23="YES",G23/(1+M23*(1-O23)),""),"")</f>
        <v>0.57479812703230015</v>
      </c>
      <c r="Q23" s="89"/>
      <c r="R23" s="95" t="s">
        <v>38</v>
      </c>
    </row>
    <row r="24" spans="1:18" ht="14.1">
      <c r="A24" s="67"/>
      <c r="C24" s="174" t="s">
        <v>26</v>
      </c>
      <c r="D24" s="89"/>
      <c r="E24" s="89"/>
      <c r="F24" s="127" t="s">
        <v>27</v>
      </c>
      <c r="G24" s="134">
        <v>1.99</v>
      </c>
      <c r="H24" s="195">
        <v>8463.1</v>
      </c>
      <c r="I24" s="130">
        <v>4.55</v>
      </c>
      <c r="J24" s="188">
        <v>375.7</v>
      </c>
      <c r="K24" s="96">
        <f t="shared" ref="K24:K27" si="1">IF(R24="YES",I24*J24,"")</f>
        <v>1709.4349999999999</v>
      </c>
      <c r="L24" s="96">
        <f t="shared" ref="L24:L27" si="2">IF(R24="YES",H24+K24,"")</f>
        <v>10172.535</v>
      </c>
      <c r="M24" s="97">
        <f t="shared" ref="M24:M36" si="3">IFERROR(IF(R24="YES",H24/K24,""),"")</f>
        <v>4.9508170828373119</v>
      </c>
      <c r="N24" s="97">
        <f t="shared" ref="N24:N36" si="4">IFERROR(IF(R24="YES",H24/L24,""),"")</f>
        <v>0.83195584974640058</v>
      </c>
      <c r="O24" s="77">
        <v>0.36</v>
      </c>
      <c r="P24" s="98">
        <f t="shared" si="0"/>
        <v>0.47738732207483803</v>
      </c>
      <c r="Q24" s="89"/>
      <c r="R24" s="95" t="s">
        <v>38</v>
      </c>
    </row>
    <row r="25" spans="1:18" ht="14.1">
      <c r="A25" s="67"/>
      <c r="B25" s="100"/>
      <c r="C25" s="23" t="s">
        <v>28</v>
      </c>
      <c r="D25" s="89"/>
      <c r="E25" s="89"/>
      <c r="F25" s="36" t="s">
        <v>29</v>
      </c>
      <c r="G25" s="134">
        <v>1.03</v>
      </c>
      <c r="H25" s="195">
        <v>1145.4000000000001</v>
      </c>
      <c r="I25" s="130">
        <v>42.53</v>
      </c>
      <c r="J25" s="188">
        <v>48.5</v>
      </c>
      <c r="K25" s="96">
        <f t="shared" si="1"/>
        <v>2062.7049999999999</v>
      </c>
      <c r="L25" s="96">
        <f t="shared" si="2"/>
        <v>3208.105</v>
      </c>
      <c r="M25" s="97">
        <f>IFERROR(IF(R25="YES",H25/K25,""),"")</f>
        <v>0.5552902620588015</v>
      </c>
      <c r="N25" s="97">
        <f t="shared" si="4"/>
        <v>0.35703320184345588</v>
      </c>
      <c r="O25" s="77">
        <v>0.37</v>
      </c>
      <c r="P25" s="98">
        <f t="shared" si="0"/>
        <v>0.76305743224436107</v>
      </c>
      <c r="Q25" s="89"/>
      <c r="R25" s="95" t="s">
        <v>38</v>
      </c>
    </row>
    <row r="26" spans="1:18" ht="14.1">
      <c r="A26" s="67"/>
      <c r="C26" s="23" t="s">
        <v>30</v>
      </c>
      <c r="D26" s="89"/>
      <c r="E26" s="89"/>
      <c r="F26" s="36" t="s">
        <v>31</v>
      </c>
      <c r="G26" s="134">
        <v>0.68</v>
      </c>
      <c r="H26" s="195">
        <v>714.8</v>
      </c>
      <c r="I26" s="130">
        <v>16.18</v>
      </c>
      <c r="J26" s="188">
        <v>169.3</v>
      </c>
      <c r="K26" s="96">
        <f t="shared" si="1"/>
        <v>2739.2740000000003</v>
      </c>
      <c r="L26" s="96">
        <f t="shared" si="2"/>
        <v>3454.0740000000005</v>
      </c>
      <c r="M26" s="97">
        <f t="shared" si="3"/>
        <v>0.26094505332434792</v>
      </c>
      <c r="N26" s="97">
        <f t="shared" si="4"/>
        <v>0.20694403188814131</v>
      </c>
      <c r="O26" s="77">
        <v>0.25</v>
      </c>
      <c r="P26" s="98">
        <f t="shared" si="0"/>
        <v>0.5687003438385968</v>
      </c>
      <c r="Q26" s="89"/>
      <c r="R26" s="95" t="s">
        <v>38</v>
      </c>
    </row>
    <row r="27" spans="1:18" ht="14.1">
      <c r="A27" s="67"/>
      <c r="C27" s="22" t="s">
        <v>32</v>
      </c>
      <c r="D27" s="89"/>
      <c r="E27" s="89"/>
      <c r="F27" s="36" t="s">
        <v>33</v>
      </c>
      <c r="G27" s="134">
        <v>1.1100000000000001</v>
      </c>
      <c r="H27" s="195">
        <v>2928</v>
      </c>
      <c r="I27" s="130">
        <v>71.53</v>
      </c>
      <c r="J27" s="188">
        <v>236.2</v>
      </c>
      <c r="K27" s="96">
        <f t="shared" si="1"/>
        <v>16895.385999999999</v>
      </c>
      <c r="L27" s="96">
        <f t="shared" si="2"/>
        <v>19823.385999999999</v>
      </c>
      <c r="M27" s="97">
        <f t="shared" si="3"/>
        <v>0.17330175232456957</v>
      </c>
      <c r="N27" s="97">
        <f>IFERROR(IF(R27="YES",H27/L27,""),"")</f>
        <v>0.14770433265033533</v>
      </c>
      <c r="O27" s="77">
        <v>4.1000000000000002E-2</v>
      </c>
      <c r="P27" s="98">
        <f t="shared" si="0"/>
        <v>0.95181224927471697</v>
      </c>
      <c r="Q27" s="89"/>
      <c r="R27" s="95" t="s">
        <v>38</v>
      </c>
    </row>
    <row r="28" spans="1:18">
      <c r="C28" s="22"/>
      <c r="D28" s="89"/>
      <c r="E28" s="89"/>
      <c r="F28" s="127"/>
      <c r="G28" s="134"/>
      <c r="H28" s="133"/>
      <c r="I28" s="193"/>
      <c r="J28" s="129"/>
      <c r="K28" s="99"/>
      <c r="L28" s="99"/>
      <c r="M28" s="97" t="str">
        <f t="shared" si="3"/>
        <v/>
      </c>
      <c r="N28" s="97"/>
      <c r="O28" s="77"/>
      <c r="P28" s="98" t="str">
        <f t="shared" si="0"/>
        <v/>
      </c>
      <c r="Q28" s="89"/>
      <c r="R28" s="95"/>
    </row>
    <row r="29" spans="1:18">
      <c r="C29" s="22"/>
      <c r="D29" s="89"/>
      <c r="E29" s="89"/>
      <c r="F29" s="127"/>
      <c r="G29" s="134"/>
      <c r="H29" s="133"/>
      <c r="I29" s="193"/>
      <c r="J29" s="129"/>
      <c r="K29" s="99"/>
      <c r="L29" s="99"/>
      <c r="M29" s="97" t="str">
        <f t="shared" si="3"/>
        <v/>
      </c>
      <c r="N29" s="97" t="str">
        <f t="shared" si="4"/>
        <v/>
      </c>
      <c r="O29" s="77"/>
      <c r="P29" s="98" t="str">
        <f t="shared" si="0"/>
        <v/>
      </c>
      <c r="Q29" s="89"/>
      <c r="R29" s="95"/>
    </row>
    <row r="30" spans="1:18">
      <c r="C30" s="22"/>
      <c r="D30" s="89"/>
      <c r="E30" s="89"/>
      <c r="F30" s="127"/>
      <c r="G30" s="134"/>
      <c r="H30" s="133"/>
      <c r="I30" s="193"/>
      <c r="J30" s="129"/>
      <c r="K30" s="99"/>
      <c r="L30" s="99"/>
      <c r="M30" s="97" t="str">
        <f t="shared" si="3"/>
        <v/>
      </c>
      <c r="N30" s="97"/>
      <c r="O30" s="77"/>
      <c r="P30" s="98" t="str">
        <f t="shared" si="0"/>
        <v/>
      </c>
      <c r="Q30" s="89"/>
      <c r="R30" s="95"/>
    </row>
    <row r="31" spans="1:18">
      <c r="C31" s="22"/>
      <c r="D31" s="89"/>
      <c r="E31" s="89"/>
      <c r="F31" s="127"/>
      <c r="G31" s="134"/>
      <c r="H31" s="133"/>
      <c r="I31" s="193"/>
      <c r="J31" s="129"/>
      <c r="K31" s="99"/>
      <c r="L31" s="99"/>
      <c r="M31" s="97" t="str">
        <f t="shared" si="3"/>
        <v/>
      </c>
      <c r="N31" s="97" t="str">
        <f t="shared" si="4"/>
        <v/>
      </c>
      <c r="O31" s="77"/>
      <c r="P31" s="98" t="str">
        <f t="shared" si="0"/>
        <v/>
      </c>
      <c r="Q31" s="89"/>
      <c r="R31" s="95"/>
    </row>
    <row r="32" spans="1:18">
      <c r="C32" s="22"/>
      <c r="D32" s="89"/>
      <c r="E32" s="89"/>
      <c r="F32" s="127"/>
      <c r="G32" s="134"/>
      <c r="H32" s="133"/>
      <c r="I32" s="193"/>
      <c r="J32" s="129"/>
      <c r="K32" s="99"/>
      <c r="L32" s="99"/>
      <c r="M32" s="97" t="str">
        <f t="shared" si="3"/>
        <v/>
      </c>
      <c r="N32" s="97" t="str">
        <f t="shared" si="4"/>
        <v/>
      </c>
      <c r="O32" s="77"/>
      <c r="P32" s="98" t="str">
        <f t="shared" si="0"/>
        <v/>
      </c>
      <c r="Q32" s="89"/>
      <c r="R32" s="95"/>
    </row>
    <row r="33" spans="3:20">
      <c r="C33" s="22"/>
      <c r="D33" s="89"/>
      <c r="E33" s="89"/>
      <c r="F33" s="127"/>
      <c r="G33" s="134"/>
      <c r="H33" s="133"/>
      <c r="I33" s="193"/>
      <c r="J33" s="129"/>
      <c r="K33" s="99"/>
      <c r="L33" s="99"/>
      <c r="M33" s="97" t="str">
        <f t="shared" si="3"/>
        <v/>
      </c>
      <c r="N33" s="97" t="str">
        <f t="shared" si="4"/>
        <v/>
      </c>
      <c r="O33" s="77"/>
      <c r="P33" s="98" t="str">
        <f t="shared" si="0"/>
        <v/>
      </c>
      <c r="Q33" s="89"/>
      <c r="R33" s="95"/>
    </row>
    <row r="34" spans="3:20">
      <c r="C34" s="22"/>
      <c r="D34" s="89"/>
      <c r="E34" s="89"/>
      <c r="F34" s="127"/>
      <c r="G34" s="134"/>
      <c r="H34" s="133"/>
      <c r="I34" s="131"/>
      <c r="J34" s="129"/>
      <c r="K34" s="99"/>
      <c r="L34" s="99"/>
      <c r="M34" s="97" t="str">
        <f t="shared" si="3"/>
        <v/>
      </c>
      <c r="N34" s="97" t="str">
        <f t="shared" si="4"/>
        <v/>
      </c>
      <c r="O34" s="77"/>
      <c r="P34" s="98" t="str">
        <f t="shared" si="0"/>
        <v/>
      </c>
      <c r="Q34" s="89"/>
      <c r="R34" s="95"/>
    </row>
    <row r="35" spans="3:20">
      <c r="C35" s="22"/>
      <c r="D35" s="89"/>
      <c r="E35" s="89"/>
      <c r="F35" s="127"/>
      <c r="G35" s="134"/>
      <c r="H35" s="133"/>
      <c r="I35" s="131"/>
      <c r="J35" s="129"/>
      <c r="K35" s="99"/>
      <c r="L35" s="99"/>
      <c r="M35" s="97" t="str">
        <f t="shared" si="3"/>
        <v/>
      </c>
      <c r="N35" s="97" t="str">
        <f t="shared" si="4"/>
        <v/>
      </c>
      <c r="O35" s="77"/>
      <c r="P35" s="98" t="str">
        <f t="shared" si="0"/>
        <v/>
      </c>
      <c r="Q35" s="89"/>
      <c r="R35" s="95"/>
    </row>
    <row r="36" spans="3:20">
      <c r="C36" s="22"/>
      <c r="D36" s="89"/>
      <c r="E36" s="89"/>
      <c r="F36" s="127"/>
      <c r="G36" s="134"/>
      <c r="H36" s="133"/>
      <c r="I36" s="131"/>
      <c r="J36" s="129"/>
      <c r="K36" s="99"/>
      <c r="L36" s="99"/>
      <c r="M36" s="97" t="str">
        <f t="shared" si="3"/>
        <v/>
      </c>
      <c r="N36" s="97" t="str">
        <f t="shared" si="4"/>
        <v/>
      </c>
      <c r="O36" s="77"/>
      <c r="P36" s="98" t="str">
        <f t="shared" si="0"/>
        <v/>
      </c>
      <c r="Q36" s="89"/>
      <c r="R36" s="95"/>
    </row>
    <row r="37" spans="3:20">
      <c r="C37" s="79" t="s">
        <v>110</v>
      </c>
      <c r="D37" s="79"/>
      <c r="E37" s="79"/>
      <c r="F37" s="79"/>
      <c r="G37" s="101"/>
      <c r="H37" s="79"/>
      <c r="I37" s="79"/>
      <c r="J37" s="79"/>
      <c r="K37" s="79"/>
      <c r="L37" s="79"/>
      <c r="M37" s="122"/>
      <c r="N37" s="122">
        <f>IFERROR(AVERAGE(N$22:N$36),"nmf")</f>
        <v>0.4300888466023764</v>
      </c>
      <c r="O37" s="122"/>
      <c r="P37" s="128">
        <f>IFERROR(AVERAGE(P$22:P$36),"nmf")</f>
        <v>0.73449009142347166</v>
      </c>
    </row>
    <row r="38" spans="3:20">
      <c r="C38" s="111" t="s">
        <v>42</v>
      </c>
      <c r="D38" s="111"/>
      <c r="E38" s="111"/>
      <c r="F38" s="111"/>
      <c r="G38" s="118"/>
      <c r="H38" s="111"/>
      <c r="I38" s="111"/>
      <c r="J38" s="111"/>
      <c r="K38" s="111"/>
      <c r="L38" s="111"/>
      <c r="M38" s="106"/>
      <c r="N38" s="106">
        <f>IFERROR(MEDIAN(N$22:N$36),"nmf")</f>
        <v>0.29327697888110638</v>
      </c>
      <c r="O38" s="93"/>
      <c r="P38" s="123">
        <f>IFERROR(MEDIAN(P$22:P$36),"nmf")</f>
        <v>0.66892777963833061</v>
      </c>
    </row>
    <row r="39" spans="3:20" ht="6" customHeight="1" thickBot="1">
      <c r="G39" s="87"/>
      <c r="M39" s="105"/>
      <c r="N39" s="105"/>
      <c r="O39" s="92"/>
      <c r="P39" s="124"/>
    </row>
    <row r="40" spans="3:20" ht="15.95" thickBot="1">
      <c r="G40" s="125"/>
      <c r="H40" s="89"/>
      <c r="I40" s="126"/>
      <c r="J40" s="126"/>
      <c r="K40" s="102"/>
      <c r="L40" s="164" t="s">
        <v>45</v>
      </c>
      <c r="M40" s="113"/>
      <c r="N40" s="165">
        <f>N37</f>
        <v>0.4300888466023764</v>
      </c>
      <c r="O40" s="114"/>
      <c r="P40" s="166">
        <f>P37</f>
        <v>0.73449009142347166</v>
      </c>
      <c r="Q40" s="89"/>
      <c r="T40" s="78" t="s">
        <v>111</v>
      </c>
    </row>
    <row r="41" spans="3:20">
      <c r="C41" s="89"/>
      <c r="Q41" s="89"/>
      <c r="S41" s="89"/>
    </row>
    <row r="42" spans="3:20">
      <c r="I42" s="89"/>
      <c r="J42" s="89"/>
      <c r="K42" s="102"/>
      <c r="L42" s="89"/>
      <c r="M42" s="89"/>
      <c r="N42" s="89"/>
      <c r="O42" s="89"/>
      <c r="P42" s="89"/>
      <c r="Q42" s="89"/>
    </row>
    <row r="43" spans="3:20">
      <c r="C43" s="112" t="s">
        <v>112</v>
      </c>
      <c r="D43" s="80"/>
      <c r="E43" s="80"/>
      <c r="F43" s="80"/>
      <c r="G43" s="80"/>
      <c r="H43" s="81"/>
      <c r="J43" s="91"/>
      <c r="K43" s="112" t="s">
        <v>113</v>
      </c>
      <c r="L43" s="80"/>
      <c r="M43" s="80"/>
      <c r="N43" s="80"/>
      <c r="O43" s="83"/>
      <c r="P43" s="83"/>
    </row>
    <row r="44" spans="3:20" ht="4.7" customHeight="1"/>
    <row r="45" spans="3:20">
      <c r="C45" s="78" t="s">
        <v>108</v>
      </c>
      <c r="H45" s="103">
        <f>P40</f>
        <v>0.73449009142347166</v>
      </c>
      <c r="L45" s="119" t="s">
        <v>114</v>
      </c>
      <c r="M45" s="100"/>
      <c r="N45" s="100"/>
      <c r="O45" s="100"/>
      <c r="P45" s="100"/>
      <c r="Q45" s="100"/>
    </row>
    <row r="46" spans="3:20">
      <c r="C46" s="78" t="s">
        <v>115</v>
      </c>
      <c r="E46" s="86"/>
      <c r="H46" s="88">
        <f>N40</f>
        <v>0.4300888466023764</v>
      </c>
      <c r="L46" s="120" t="s">
        <v>116</v>
      </c>
      <c r="M46" s="100"/>
      <c r="N46" s="120" t="s">
        <v>117</v>
      </c>
      <c r="O46" s="100"/>
      <c r="P46" s="120" t="s">
        <v>118</v>
      </c>
      <c r="Q46" s="100"/>
    </row>
    <row r="47" spans="3:20">
      <c r="C47" s="78" t="s">
        <v>119</v>
      </c>
      <c r="E47" s="85"/>
      <c r="H47" s="88">
        <f>1-H46</f>
        <v>0.56991115339762355</v>
      </c>
      <c r="J47" s="91"/>
    </row>
    <row r="48" spans="3:20">
      <c r="C48" s="78" t="s">
        <v>120</v>
      </c>
      <c r="H48" s="88">
        <f>H46/H47</f>
        <v>0.75465946584538246</v>
      </c>
      <c r="J48" s="91"/>
      <c r="K48" s="78" t="s">
        <v>121</v>
      </c>
      <c r="L48" s="121">
        <f>(F9)*(1-F12)</f>
        <v>2.9904000000000003E-2</v>
      </c>
      <c r="M48" s="92" t="s">
        <v>122</v>
      </c>
      <c r="N48" s="105">
        <f>H46</f>
        <v>0.4300888466023764</v>
      </c>
      <c r="O48" s="92" t="s">
        <v>123</v>
      </c>
      <c r="P48" s="105">
        <f>L48*N48</f>
        <v>1.2861376868797465E-2</v>
      </c>
    </row>
    <row r="49" spans="3:16">
      <c r="C49" s="78" t="s">
        <v>124</v>
      </c>
      <c r="H49" s="88">
        <f>F12</f>
        <v>0.44</v>
      </c>
      <c r="J49" s="91"/>
      <c r="K49" s="78" t="s">
        <v>125</v>
      </c>
      <c r="L49" s="121">
        <f>(F8+(F10*H50)+F14+F11+F13)</f>
        <v>8.5422632879610827E-2</v>
      </c>
      <c r="M49" s="92" t="s">
        <v>122</v>
      </c>
      <c r="N49" s="105">
        <f>H47</f>
        <v>0.56991115339762355</v>
      </c>
      <c r="O49" s="92" t="s">
        <v>123</v>
      </c>
      <c r="P49" s="106">
        <f>L49*N49</f>
        <v>4.8683311230680766E-2</v>
      </c>
    </row>
    <row r="50" spans="3:16">
      <c r="C50" s="100" t="s">
        <v>126</v>
      </c>
      <c r="D50" s="100"/>
      <c r="E50" s="100"/>
      <c r="F50" s="100"/>
      <c r="G50" s="100"/>
      <c r="H50" s="168">
        <f>H45*(1+(H48*(1-H49)))</f>
        <v>1.0448924354583951</v>
      </c>
      <c r="P50" s="105">
        <f>P48+P49</f>
        <v>6.1544688099478231E-2</v>
      </c>
    </row>
    <row r="51" spans="3:16">
      <c r="L51" s="104"/>
      <c r="M51" s="92"/>
      <c r="N51" s="107"/>
      <c r="O51" s="92"/>
    </row>
    <row r="52" spans="3:16">
      <c r="K52" s="108" t="s">
        <v>127</v>
      </c>
      <c r="L52" s="109"/>
      <c r="M52" s="109"/>
      <c r="N52" s="109"/>
      <c r="O52" s="109"/>
      <c r="P52" s="110">
        <f>MROUND(P50,0.005)</f>
        <v>0.06</v>
      </c>
    </row>
    <row r="55" spans="3:16">
      <c r="C55" s="100" t="s">
        <v>46</v>
      </c>
      <c r="O55" s="100"/>
      <c r="P55" s="100"/>
    </row>
    <row r="56" spans="3:16">
      <c r="C56" s="154" t="s">
        <v>47</v>
      </c>
    </row>
  </sheetData>
  <conditionalFormatting sqref="C22:P36">
    <cfRule type="expression" dxfId="0" priority="1">
      <formula>MOD(ROW(),2)=0</formula>
    </cfRule>
  </conditionalFormatting>
  <hyperlinks>
    <hyperlink ref="G12" r:id="rId1" xr:uid="{A0FA6259-E274-1849-8F50-FDFE71873529}"/>
  </hyperlinks>
  <printOptions horizontalCentered="1"/>
  <pageMargins left="0.5" right="0.5" top="0.5" bottom="0.5" header="0.3" footer="0.3"/>
  <pageSetup scale="61" orientation="landscape" r:id="rId2"/>
  <legacyDrawing r:id="rId3"/>
</worksheet>
</file>

<file path=docMetadata/LabelInfo.xml><?xml version="1.0" encoding="utf-8"?>
<clbl:labelList xmlns:clbl="http://schemas.microsoft.com/office/2020/mipLabelMetadata">
  <clbl:label id="{d4094080-551c-483b-80f9-fd0fa7da24e0}" enabled="1" method="Standard" siteId="{781802be-916f-42df-a204-78a2b3144934}"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Rahimian, Arya</dc:creator>
  <cp:keywords/>
  <dc:description/>
  <cp:lastModifiedBy/>
  <cp:revision/>
  <dcterms:created xsi:type="dcterms:W3CDTF">2022-03-17T19:33:01Z</dcterms:created>
  <dcterms:modified xsi:type="dcterms:W3CDTF">2024-11-14T05:24:34Z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4094080-551c-483b-80f9-fd0fa7da24e0_Enabled">
    <vt:lpwstr>true</vt:lpwstr>
  </property>
  <property fmtid="{D5CDD505-2E9C-101B-9397-08002B2CF9AE}" pid="3" name="MSIP_Label_d4094080-551c-483b-80f9-fd0fa7da24e0_SetDate">
    <vt:lpwstr>2022-03-17T19:33:01Z</vt:lpwstr>
  </property>
  <property fmtid="{D5CDD505-2E9C-101B-9397-08002B2CF9AE}" pid="4" name="MSIP_Label_d4094080-551c-483b-80f9-fd0fa7da24e0_Method">
    <vt:lpwstr>Standard</vt:lpwstr>
  </property>
  <property fmtid="{D5CDD505-2E9C-101B-9397-08002B2CF9AE}" pid="5" name="MSIP_Label_d4094080-551c-483b-80f9-fd0fa7da24e0_Name">
    <vt:lpwstr>Restricted</vt:lpwstr>
  </property>
  <property fmtid="{D5CDD505-2E9C-101B-9397-08002B2CF9AE}" pid="6" name="MSIP_Label_d4094080-551c-483b-80f9-fd0fa7da24e0_SiteId">
    <vt:lpwstr>781802be-916f-42df-a204-78a2b3144934</vt:lpwstr>
  </property>
  <property fmtid="{D5CDD505-2E9C-101B-9397-08002B2CF9AE}" pid="7" name="MSIP_Label_d4094080-551c-483b-80f9-fd0fa7da24e0_ActionId">
    <vt:lpwstr>8d28afd0-631e-4ab3-b191-b3b768267849</vt:lpwstr>
  </property>
  <property fmtid="{D5CDD505-2E9C-101B-9397-08002B2CF9AE}" pid="8" name="MSIP_Label_d4094080-551c-483b-80f9-fd0fa7da24e0_ContentBits">
    <vt:lpwstr>0</vt:lpwstr>
  </property>
</Properties>
</file>